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p1901-10883\f\035　きた住まいる\02 民間住宅施策推進会議\★2020新設に向けた各種検討\技術解説書改訂\資料編\"/>
    </mc:Choice>
  </mc:AlternateContent>
  <bookViews>
    <workbookView xWindow="0" yWindow="0" windowWidth="28800" windowHeight="12336" firstSheet="2" activeTab="12"/>
  </bookViews>
  <sheets>
    <sheet name="はじめに（お読みください）" sheetId="111" r:id="rId1"/>
    <sheet name="共通条件・結果" sheetId="97" r:id="rId2"/>
    <sheet name="Ａ（北）" sheetId="92" r:id="rId3"/>
    <sheet name="Ａ（北東）" sheetId="102" r:id="rId4"/>
    <sheet name="Ａ（東）" sheetId="103" r:id="rId5"/>
    <sheet name="Ａ（南東）" sheetId="104" r:id="rId6"/>
    <sheet name="Ａ（南）" sheetId="105" r:id="rId7"/>
    <sheet name="Ａ（南西）" sheetId="106" r:id="rId8"/>
    <sheet name="Ａ（西）" sheetId="107" r:id="rId9"/>
    <sheet name="Ａ（北西）" sheetId="108" r:id="rId10"/>
    <sheet name="Ｂ（屋根・床等）" sheetId="110" r:id="rId11"/>
    <sheet name="Ｃ（基礎）" sheetId="109" r:id="rId12"/>
    <sheet name="更新履歴" sheetId="101" r:id="rId13"/>
  </sheets>
  <definedNames>
    <definedName name="_xlnm.Print_Area" localSheetId="8">'Ａ（西）'!$B$2:$AA$44</definedName>
    <definedName name="_xlnm.Print_Area" localSheetId="4">'Ａ（東）'!$B$2:$AA$44</definedName>
    <definedName name="_xlnm.Print_Area" localSheetId="6">'Ａ（南）'!$B$2:$AA$44</definedName>
    <definedName name="_xlnm.Print_Area" localSheetId="7">'Ａ（南西）'!$B$2:$AA$44</definedName>
    <definedName name="_xlnm.Print_Area" localSheetId="5">'Ａ（南東）'!$B$2:$AA$44</definedName>
    <definedName name="_xlnm.Print_Area" localSheetId="2">'Ａ（北）'!$B$2:$AA$44</definedName>
    <definedName name="_xlnm.Print_Area" localSheetId="9">'Ａ（北西）'!$B$2:$AA$44</definedName>
    <definedName name="_xlnm.Print_Area" localSheetId="3">'Ａ（北東）'!$B$2:$AA$44</definedName>
    <definedName name="_xlnm.Print_Area" localSheetId="10">'Ｂ（屋根・床等）'!$B$2:$AA$33</definedName>
    <definedName name="_xlnm.Print_Area" localSheetId="11">'Ｃ（基礎）'!$B$2:$AC$44</definedName>
    <definedName name="_xlnm.Print_Area" localSheetId="0">'はじめに（お読みください）'!$A$1:$B$8</definedName>
    <definedName name="_xlnm.Print_Area" localSheetId="1">共通条件・結果!$B$2:$AC$28</definedName>
    <definedName name="_xlnm.Print_Area" localSheetId="12">更新履歴!$B$2:$I$42</definedName>
  </definedNames>
  <calcPr calcId="191029"/>
</workbook>
</file>

<file path=xl/calcChain.xml><?xml version="1.0" encoding="utf-8"?>
<calcChain xmlns="http://schemas.openxmlformats.org/spreadsheetml/2006/main">
  <c r="L34" i="107" l="1"/>
  <c r="P34" i="107" s="1"/>
  <c r="L34" i="103"/>
  <c r="P34" i="103" s="1"/>
  <c r="L34" i="105"/>
  <c r="P34" i="105" s="1"/>
  <c r="L34" i="92"/>
  <c r="L33" i="92"/>
  <c r="H19" i="109"/>
  <c r="L33" i="107"/>
  <c r="L33" i="105"/>
  <c r="L33" i="103"/>
  <c r="P33" i="103"/>
  <c r="H7" i="109"/>
  <c r="H30" i="109"/>
  <c r="J18" i="110"/>
  <c r="R18" i="110" s="1"/>
  <c r="F17" i="110"/>
  <c r="J17" i="110"/>
  <c r="N33" i="105"/>
  <c r="N33" i="107"/>
  <c r="N33" i="92"/>
  <c r="P33" i="92" s="1"/>
  <c r="Z33" i="92" s="1"/>
  <c r="Q41" i="107"/>
  <c r="P35" i="105"/>
  <c r="P36" i="105"/>
  <c r="P37" i="105"/>
  <c r="U41" i="108"/>
  <c r="Q41" i="108"/>
  <c r="U41" i="107"/>
  <c r="U41" i="106"/>
  <c r="Q41" i="106"/>
  <c r="U41" i="105"/>
  <c r="Q41" i="105"/>
  <c r="U41" i="104"/>
  <c r="Q41" i="104"/>
  <c r="U41" i="103"/>
  <c r="Q41" i="103"/>
  <c r="U41" i="102"/>
  <c r="Q41" i="102"/>
  <c r="U41" i="92"/>
  <c r="Q41" i="92"/>
  <c r="AF35" i="108"/>
  <c r="AE35" i="108"/>
  <c r="AF34" i="108"/>
  <c r="AE34" i="108"/>
  <c r="P34" i="108"/>
  <c r="Z34" i="108"/>
  <c r="P35" i="108"/>
  <c r="Z35" i="108"/>
  <c r="AO26" i="108"/>
  <c r="AN26" i="108"/>
  <c r="Z26" i="108"/>
  <c r="AO13" i="108"/>
  <c r="AN13" i="108" s="1"/>
  <c r="Z13" i="108"/>
  <c r="AL13" i="108"/>
  <c r="AI13" i="108"/>
  <c r="AK13" i="108"/>
  <c r="AH13" i="108" s="1"/>
  <c r="AO12" i="108"/>
  <c r="AN12" i="108"/>
  <c r="Z12" i="108"/>
  <c r="AL12" i="108"/>
  <c r="AI12" i="108"/>
  <c r="AK12" i="108"/>
  <c r="AH12" i="108" s="1"/>
  <c r="AF35" i="107"/>
  <c r="AE35" i="107"/>
  <c r="AF34" i="107"/>
  <c r="AE34" i="107"/>
  <c r="P35" i="107"/>
  <c r="Z35" i="107"/>
  <c r="Z34" i="107"/>
  <c r="AO26" i="107"/>
  <c r="AN26" i="107" s="1"/>
  <c r="Z26" i="107"/>
  <c r="AO13" i="107"/>
  <c r="AN13" i="107"/>
  <c r="Z13" i="107"/>
  <c r="AL13" i="107"/>
  <c r="AI13" i="107"/>
  <c r="AK13" i="107"/>
  <c r="AH13" i="107" s="1"/>
  <c r="AO12" i="107"/>
  <c r="AN12" i="107"/>
  <c r="Z12" i="107"/>
  <c r="AL12" i="107"/>
  <c r="AI12" i="107"/>
  <c r="AK12" i="107"/>
  <c r="AH12" i="107"/>
  <c r="AF35" i="106"/>
  <c r="AE35" i="106"/>
  <c r="AF34" i="106"/>
  <c r="AE34" i="106"/>
  <c r="P35" i="106"/>
  <c r="Z35" i="106"/>
  <c r="P34" i="106"/>
  <c r="Z34" i="106"/>
  <c r="AO26" i="106"/>
  <c r="AN26" i="106"/>
  <c r="Z26" i="106"/>
  <c r="AO13" i="106"/>
  <c r="AN13" i="106"/>
  <c r="Z13" i="106"/>
  <c r="AL13" i="106"/>
  <c r="AI13" i="106" s="1"/>
  <c r="AK13" i="106"/>
  <c r="AH13" i="106" s="1"/>
  <c r="AO12" i="106"/>
  <c r="AN12" i="106"/>
  <c r="Z12" i="106"/>
  <c r="AL12" i="106"/>
  <c r="AI12" i="106"/>
  <c r="AK12" i="106"/>
  <c r="AH12" i="106" s="1"/>
  <c r="AF35" i="105"/>
  <c r="AE35" i="105"/>
  <c r="AF34" i="105"/>
  <c r="AE34" i="105"/>
  <c r="Z35" i="105"/>
  <c r="Z34" i="105"/>
  <c r="AO26" i="105"/>
  <c r="AN26" i="105"/>
  <c r="Z26" i="105"/>
  <c r="AO13" i="105"/>
  <c r="AN13" i="105"/>
  <c r="Z13" i="105" s="1"/>
  <c r="AL13" i="105"/>
  <c r="AI13" i="105"/>
  <c r="AK13" i="105"/>
  <c r="AH13" i="105" s="1"/>
  <c r="AO12" i="105"/>
  <c r="AN12" i="105"/>
  <c r="Z12" i="105" s="1"/>
  <c r="AL12" i="105"/>
  <c r="AI12" i="105"/>
  <c r="AK12" i="105"/>
  <c r="AH12" i="105" s="1"/>
  <c r="P35" i="103"/>
  <c r="V35" i="103" s="1"/>
  <c r="AF35" i="104"/>
  <c r="AE35" i="104"/>
  <c r="AF34" i="104"/>
  <c r="AE34" i="104"/>
  <c r="P35" i="104"/>
  <c r="Z35" i="104"/>
  <c r="P34" i="104"/>
  <c r="Z34" i="104"/>
  <c r="AO26" i="104"/>
  <c r="AN26" i="104" s="1"/>
  <c r="Z26" i="104"/>
  <c r="AO13" i="104"/>
  <c r="AN13" i="104" s="1"/>
  <c r="Z13" i="104"/>
  <c r="AL13" i="104"/>
  <c r="AI13" i="104" s="1"/>
  <c r="AK13" i="104"/>
  <c r="AH13" i="104" s="1"/>
  <c r="AO12" i="104"/>
  <c r="AN12" i="104"/>
  <c r="Z12" i="104"/>
  <c r="AL12" i="104"/>
  <c r="AI12" i="104"/>
  <c r="AK12" i="104"/>
  <c r="AH12" i="104" s="1"/>
  <c r="AF35" i="103"/>
  <c r="AE35" i="103"/>
  <c r="AF34" i="103"/>
  <c r="AE34" i="103"/>
  <c r="Z35" i="103"/>
  <c r="Z34" i="103"/>
  <c r="AO26" i="103"/>
  <c r="AN26" i="103" s="1"/>
  <c r="Z26" i="103"/>
  <c r="AO13" i="103"/>
  <c r="AN13" i="103"/>
  <c r="Z13" i="103"/>
  <c r="AL13" i="103"/>
  <c r="AI13" i="103"/>
  <c r="AK13" i="103"/>
  <c r="AH13" i="103" s="1"/>
  <c r="AO12" i="103"/>
  <c r="AN12" i="103"/>
  <c r="Z12" i="103"/>
  <c r="AL12" i="103"/>
  <c r="AI12" i="103" s="1"/>
  <c r="AK12" i="103"/>
  <c r="AH12" i="103"/>
  <c r="AF35" i="102"/>
  <c r="AE35" i="102"/>
  <c r="AF34" i="102"/>
  <c r="AE34" i="102"/>
  <c r="P35" i="102"/>
  <c r="V35" i="102" s="1"/>
  <c r="Z35" i="102"/>
  <c r="P34" i="102"/>
  <c r="V34" i="102" s="1"/>
  <c r="Z34" i="102"/>
  <c r="AO26" i="102"/>
  <c r="AN26" i="102" s="1"/>
  <c r="Z26" i="102"/>
  <c r="AO13" i="102"/>
  <c r="AN13" i="102" s="1"/>
  <c r="Z13" i="102"/>
  <c r="AL13" i="102"/>
  <c r="AI13" i="102" s="1"/>
  <c r="AK13" i="102"/>
  <c r="AH13" i="102"/>
  <c r="AO12" i="102"/>
  <c r="AN12" i="102"/>
  <c r="Z12" i="102"/>
  <c r="AL12" i="102"/>
  <c r="AI12" i="102"/>
  <c r="AK12" i="102"/>
  <c r="AH12" i="102"/>
  <c r="AF35" i="92"/>
  <c r="AE35" i="92"/>
  <c r="P35" i="92"/>
  <c r="Z35" i="92"/>
  <c r="AF34" i="92"/>
  <c r="AE34" i="92"/>
  <c r="P34" i="92"/>
  <c r="X34" i="92" s="1"/>
  <c r="V35" i="107"/>
  <c r="AO13" i="92"/>
  <c r="AN13" i="92"/>
  <c r="Z13" i="92" s="1"/>
  <c r="AL13" i="92"/>
  <c r="AI13" i="92"/>
  <c r="AK13" i="92"/>
  <c r="AH13" i="92"/>
  <c r="AO26" i="92"/>
  <c r="AN26" i="92" s="1"/>
  <c r="Z26" i="92"/>
  <c r="AO27" i="92"/>
  <c r="AN27" i="92"/>
  <c r="AO12" i="92"/>
  <c r="AN12" i="92" s="1"/>
  <c r="Z12" i="92" s="1"/>
  <c r="AL12" i="92"/>
  <c r="AI12" i="92"/>
  <c r="AK12" i="92"/>
  <c r="AH12" i="92"/>
  <c r="X4" i="108"/>
  <c r="AE19" i="108" s="1"/>
  <c r="P33" i="108"/>
  <c r="V33" i="108" s="1"/>
  <c r="X4" i="107"/>
  <c r="AE13" i="107" s="1"/>
  <c r="X4" i="106"/>
  <c r="AL8" i="106"/>
  <c r="AI8" i="106" s="1"/>
  <c r="X4" i="105"/>
  <c r="AE13" i="105" s="1"/>
  <c r="X13" i="105" s="1"/>
  <c r="X36" i="105"/>
  <c r="AL8" i="105"/>
  <c r="AI8" i="105"/>
  <c r="AE8" i="105" s="1"/>
  <c r="X8" i="105" s="1"/>
  <c r="X4" i="104"/>
  <c r="X27" i="104"/>
  <c r="AL8" i="104"/>
  <c r="AI8" i="104"/>
  <c r="X4" i="103"/>
  <c r="AL11" i="103"/>
  <c r="AI11" i="103"/>
  <c r="X11" i="103"/>
  <c r="AL9" i="102"/>
  <c r="AI9" i="102" s="1"/>
  <c r="X4" i="102"/>
  <c r="AL19" i="102"/>
  <c r="AI19" i="102"/>
  <c r="X19" i="102"/>
  <c r="AL8" i="102"/>
  <c r="AI8" i="102"/>
  <c r="AL9" i="92"/>
  <c r="AI9" i="92"/>
  <c r="X4" i="92"/>
  <c r="AE12" i="92" s="1"/>
  <c r="X12" i="92" s="1"/>
  <c r="X27" i="92"/>
  <c r="Z23" i="109"/>
  <c r="Z22" i="109"/>
  <c r="Z21" i="109"/>
  <c r="Z20" i="109"/>
  <c r="Z19" i="109"/>
  <c r="AH19" i="109"/>
  <c r="AE23" i="109"/>
  <c r="AH23" i="109"/>
  <c r="AE21" i="109"/>
  <c r="AG21" i="109" s="1"/>
  <c r="AH21" i="109"/>
  <c r="AH20" i="109"/>
  <c r="AG20" i="109" s="1"/>
  <c r="AE20" i="109"/>
  <c r="D34" i="109"/>
  <c r="B34" i="109"/>
  <c r="D33" i="109"/>
  <c r="B33" i="109"/>
  <c r="D32" i="109"/>
  <c r="B32" i="109"/>
  <c r="D31" i="109"/>
  <c r="B31" i="109"/>
  <c r="D30" i="109"/>
  <c r="B30" i="109"/>
  <c r="AK23" i="109"/>
  <c r="AJ23" i="109"/>
  <c r="D23" i="109"/>
  <c r="B23" i="109"/>
  <c r="AK22" i="109"/>
  <c r="AI22" i="109" s="1"/>
  <c r="AJ22" i="109"/>
  <c r="AH22" i="109"/>
  <c r="AG22" i="109" s="1"/>
  <c r="AE22" i="109"/>
  <c r="D22" i="109"/>
  <c r="B22" i="109"/>
  <c r="AK21" i="109"/>
  <c r="AI21" i="109" s="1"/>
  <c r="AJ21" i="109"/>
  <c r="D21" i="109"/>
  <c r="B21" i="109"/>
  <c r="AK20" i="109"/>
  <c r="AI20" i="109" s="1"/>
  <c r="AJ20" i="109"/>
  <c r="D20" i="109"/>
  <c r="B20" i="109"/>
  <c r="AK19" i="109"/>
  <c r="AJ19" i="109"/>
  <c r="AI19" i="109" s="1"/>
  <c r="AE19" i="109"/>
  <c r="D19" i="109"/>
  <c r="B19" i="109"/>
  <c r="H12" i="109"/>
  <c r="T30" i="110"/>
  <c r="AD24" i="110"/>
  <c r="P24" i="110"/>
  <c r="N24" i="110"/>
  <c r="J24" i="110"/>
  <c r="R24" i="110"/>
  <c r="AD23" i="110"/>
  <c r="P23" i="110"/>
  <c r="N23" i="110"/>
  <c r="J23" i="110"/>
  <c r="R23" i="110"/>
  <c r="AD22" i="110"/>
  <c r="P22" i="110"/>
  <c r="J22" i="110"/>
  <c r="R22" i="110"/>
  <c r="AD21" i="110"/>
  <c r="J21" i="110"/>
  <c r="R21" i="110"/>
  <c r="P21" i="110"/>
  <c r="N21" i="110"/>
  <c r="AD20" i="110"/>
  <c r="P20" i="110"/>
  <c r="N20" i="110"/>
  <c r="J20" i="110"/>
  <c r="R20" i="110"/>
  <c r="AD19" i="110"/>
  <c r="P19" i="110"/>
  <c r="J19" i="110"/>
  <c r="R19" i="110"/>
  <c r="AD18" i="110"/>
  <c r="P18" i="110"/>
  <c r="N18" i="110"/>
  <c r="AD17" i="110"/>
  <c r="AH11" i="110"/>
  <c r="P11" i="110"/>
  <c r="AG11" i="110"/>
  <c r="N11" i="110"/>
  <c r="AE11" i="110"/>
  <c r="AD11" i="110"/>
  <c r="R11" i="110"/>
  <c r="AH10" i="110"/>
  <c r="P10" i="110"/>
  <c r="AG10" i="110"/>
  <c r="N10" i="110"/>
  <c r="AE10" i="110"/>
  <c r="AD10" i="110"/>
  <c r="R10" i="110"/>
  <c r="AH9" i="110"/>
  <c r="P9" i="110"/>
  <c r="AG9" i="110"/>
  <c r="N9" i="110"/>
  <c r="AE9" i="110"/>
  <c r="AD9" i="110"/>
  <c r="R9" i="110"/>
  <c r="AH8" i="110"/>
  <c r="P8" i="110"/>
  <c r="AG8" i="110"/>
  <c r="N8" i="110"/>
  <c r="AE8" i="110"/>
  <c r="AD8" i="110"/>
  <c r="R8" i="110"/>
  <c r="AH7" i="110"/>
  <c r="P7" i="110"/>
  <c r="AG7" i="110"/>
  <c r="N7" i="110"/>
  <c r="AE7" i="110"/>
  <c r="AD7" i="110"/>
  <c r="R7" i="110"/>
  <c r="AF37" i="108"/>
  <c r="AE37" i="108"/>
  <c r="P37" i="108"/>
  <c r="V37" i="108" s="1"/>
  <c r="Z37" i="108"/>
  <c r="AF36" i="108"/>
  <c r="AE36" i="108"/>
  <c r="P36" i="108"/>
  <c r="Z36" i="108"/>
  <c r="AF33" i="108"/>
  <c r="AE33" i="108"/>
  <c r="Z33" i="108"/>
  <c r="V4" i="108"/>
  <c r="AK9" i="108"/>
  <c r="AH9" i="108" s="1"/>
  <c r="V9" i="108"/>
  <c r="AO27" i="108"/>
  <c r="AN27" i="108"/>
  <c r="Z27" i="108"/>
  <c r="AO25" i="108"/>
  <c r="AN25" i="108" s="1"/>
  <c r="Z25" i="108"/>
  <c r="AO19" i="108"/>
  <c r="AN19" i="108" s="1"/>
  <c r="Z19" i="108"/>
  <c r="AL19" i="108"/>
  <c r="AI19" i="108"/>
  <c r="AK19" i="108"/>
  <c r="AH19" i="108"/>
  <c r="AO18" i="108"/>
  <c r="AN18" i="108" s="1"/>
  <c r="Z18" i="108"/>
  <c r="AL18" i="108"/>
  <c r="AI18" i="108"/>
  <c r="AK18" i="108"/>
  <c r="AH18" i="108"/>
  <c r="AO17" i="108"/>
  <c r="AN17" i="108"/>
  <c r="Z17" i="108"/>
  <c r="AL17" i="108"/>
  <c r="AI17" i="108"/>
  <c r="AK17" i="108"/>
  <c r="AH17" i="108"/>
  <c r="AO16" i="108"/>
  <c r="AN16" i="108"/>
  <c r="Z16" i="108"/>
  <c r="AL16" i="108"/>
  <c r="AI16" i="108"/>
  <c r="AK16" i="108"/>
  <c r="AH16" i="108"/>
  <c r="AO15" i="108"/>
  <c r="AN15" i="108"/>
  <c r="Z15" i="108"/>
  <c r="AL15" i="108"/>
  <c r="AI15" i="108"/>
  <c r="AK15" i="108"/>
  <c r="AH15" i="108"/>
  <c r="AO14" i="108"/>
  <c r="AN14" i="108"/>
  <c r="Z14" i="108"/>
  <c r="AL14" i="108"/>
  <c r="AI14" i="108"/>
  <c r="AK14" i="108"/>
  <c r="AH14" i="108"/>
  <c r="AO11" i="108"/>
  <c r="AN11" i="108"/>
  <c r="Z11" i="108"/>
  <c r="AL11" i="108"/>
  <c r="AI11" i="108" s="1"/>
  <c r="AK11" i="108"/>
  <c r="AH11" i="108"/>
  <c r="AD11" i="108" s="1"/>
  <c r="AO10" i="108"/>
  <c r="AN10" i="108"/>
  <c r="Z10" i="108"/>
  <c r="AL10" i="108"/>
  <c r="AI10" i="108" s="1"/>
  <c r="AK10" i="108"/>
  <c r="AH10" i="108"/>
  <c r="AO9" i="108"/>
  <c r="AN9" i="108"/>
  <c r="Z9" i="108"/>
  <c r="AL9" i="108"/>
  <c r="AI9" i="108" s="1"/>
  <c r="AO8" i="108"/>
  <c r="AN8" i="108" s="1"/>
  <c r="Z8" i="108"/>
  <c r="AL8" i="108"/>
  <c r="AI8" i="108" s="1"/>
  <c r="AK8" i="108"/>
  <c r="AH8" i="108"/>
  <c r="AF37" i="107"/>
  <c r="AE37" i="107"/>
  <c r="P37" i="107"/>
  <c r="Z37" i="107"/>
  <c r="AF36" i="107"/>
  <c r="AE36" i="107"/>
  <c r="P36" i="107"/>
  <c r="V36" i="107" s="1"/>
  <c r="Z36" i="107"/>
  <c r="AF33" i="107"/>
  <c r="AE33" i="107"/>
  <c r="V4" i="107"/>
  <c r="AD12" i="107" s="1"/>
  <c r="V37" i="107"/>
  <c r="AO27" i="107"/>
  <c r="AN27" i="107"/>
  <c r="Z27" i="107"/>
  <c r="AO25" i="107"/>
  <c r="AN25" i="107" s="1"/>
  <c r="Z25" i="107"/>
  <c r="AO19" i="107"/>
  <c r="AN19" i="107" s="1"/>
  <c r="Z19" i="107"/>
  <c r="AL19" i="107"/>
  <c r="AI19" i="107"/>
  <c r="AE19" i="107" s="1"/>
  <c r="AK19" i="107"/>
  <c r="AH19" i="107" s="1"/>
  <c r="AO18" i="107"/>
  <c r="AN18" i="107"/>
  <c r="Z18" i="107"/>
  <c r="AL18" i="107"/>
  <c r="AI18" i="107"/>
  <c r="AK18" i="107"/>
  <c r="AH18" i="107" s="1"/>
  <c r="AO17" i="107"/>
  <c r="AN17" i="107"/>
  <c r="Z17" i="107"/>
  <c r="AL17" i="107"/>
  <c r="AI17" i="107" s="1"/>
  <c r="AE17" i="107" s="1"/>
  <c r="AK17" i="107"/>
  <c r="AH17" i="107"/>
  <c r="AO16" i="107"/>
  <c r="AN16" i="107"/>
  <c r="Z16" i="107"/>
  <c r="AL16" i="107"/>
  <c r="AI16" i="107"/>
  <c r="AE16" i="107"/>
  <c r="AK16" i="107"/>
  <c r="AH16" i="107" s="1"/>
  <c r="AO15" i="107"/>
  <c r="AN15" i="107"/>
  <c r="Z15" i="107"/>
  <c r="AL15" i="107"/>
  <c r="AI15" i="107" s="1"/>
  <c r="AE15" i="107" s="1"/>
  <c r="AK15" i="107"/>
  <c r="AH15" i="107" s="1"/>
  <c r="AO14" i="107"/>
  <c r="AN14" i="107" s="1"/>
  <c r="Z14" i="107"/>
  <c r="AL14" i="107"/>
  <c r="AI14" i="107" s="1"/>
  <c r="AK14" i="107"/>
  <c r="AH14" i="107"/>
  <c r="AO11" i="107"/>
  <c r="AN11" i="107" s="1"/>
  <c r="Z11" i="107"/>
  <c r="AL11" i="107"/>
  <c r="AI11" i="107" s="1"/>
  <c r="AE11" i="107" s="1"/>
  <c r="AK11" i="107"/>
  <c r="AH11" i="107"/>
  <c r="AO10" i="107"/>
  <c r="AN10" i="107"/>
  <c r="Z10" i="107"/>
  <c r="AL10" i="107"/>
  <c r="AI10" i="107"/>
  <c r="AE10" i="107" s="1"/>
  <c r="AK10" i="107"/>
  <c r="AH10" i="107"/>
  <c r="AO9" i="107"/>
  <c r="AN9" i="107" s="1"/>
  <c r="Z9" i="107"/>
  <c r="AL9" i="107"/>
  <c r="AI9" i="107"/>
  <c r="AK9" i="107"/>
  <c r="AH9" i="107"/>
  <c r="AO8" i="107"/>
  <c r="AN8" i="107"/>
  <c r="Z8" i="107" s="1"/>
  <c r="AL8" i="107"/>
  <c r="AI8" i="107"/>
  <c r="AE8" i="107" s="1"/>
  <c r="X8" i="107" s="1"/>
  <c r="AK8" i="107"/>
  <c r="AH8" i="107"/>
  <c r="P33" i="106"/>
  <c r="AF37" i="106"/>
  <c r="AE37" i="106"/>
  <c r="P37" i="106"/>
  <c r="Z37" i="106"/>
  <c r="AF36" i="106"/>
  <c r="AE36" i="106"/>
  <c r="P36" i="106"/>
  <c r="Z36" i="106"/>
  <c r="Z38" i="106" s="1"/>
  <c r="AF33" i="106"/>
  <c r="AE33" i="106"/>
  <c r="Z33" i="106"/>
  <c r="V4" i="106"/>
  <c r="V27" i="106"/>
  <c r="AO27" i="106"/>
  <c r="AN27" i="106"/>
  <c r="Z27" i="106"/>
  <c r="AO25" i="106"/>
  <c r="AN25" i="106"/>
  <c r="Z25" i="106"/>
  <c r="AO19" i="106"/>
  <c r="AN19" i="106"/>
  <c r="Z19" i="106"/>
  <c r="AL19" i="106"/>
  <c r="AI19" i="106"/>
  <c r="AK19" i="106"/>
  <c r="AH19" i="106" s="1"/>
  <c r="AO18" i="106"/>
  <c r="AN18" i="106" s="1"/>
  <c r="Z18" i="106"/>
  <c r="AL18" i="106"/>
  <c r="AI18" i="106"/>
  <c r="AK18" i="106"/>
  <c r="AH18" i="106" s="1"/>
  <c r="AO17" i="106"/>
  <c r="AN17" i="106"/>
  <c r="Z17" i="106"/>
  <c r="AL17" i="106"/>
  <c r="AI17" i="106" s="1"/>
  <c r="AK17" i="106"/>
  <c r="AH17" i="106" s="1"/>
  <c r="AO16" i="106"/>
  <c r="AN16" i="106" s="1"/>
  <c r="Z16" i="106"/>
  <c r="AL16" i="106"/>
  <c r="AI16" i="106"/>
  <c r="AK16" i="106"/>
  <c r="AH16" i="106" s="1"/>
  <c r="AO15" i="106"/>
  <c r="AN15" i="106" s="1"/>
  <c r="AL15" i="106"/>
  <c r="AI15" i="106"/>
  <c r="AK15" i="106"/>
  <c r="AH15" i="106" s="1"/>
  <c r="Z15" i="106"/>
  <c r="AO14" i="106"/>
  <c r="AN14" i="106" s="1"/>
  <c r="Z14" i="106"/>
  <c r="AL14" i="106"/>
  <c r="AI14" i="106"/>
  <c r="AK14" i="106"/>
  <c r="AH14" i="106" s="1"/>
  <c r="AO11" i="106"/>
  <c r="AN11" i="106" s="1"/>
  <c r="Z11" i="106"/>
  <c r="AL11" i="106"/>
  <c r="AI11" i="106"/>
  <c r="AK11" i="106"/>
  <c r="AH11" i="106" s="1"/>
  <c r="AO10" i="106"/>
  <c r="AN10" i="106"/>
  <c r="Z10" i="106"/>
  <c r="AL10" i="106"/>
  <c r="AI10" i="106"/>
  <c r="AK10" i="106"/>
  <c r="AH10" i="106" s="1"/>
  <c r="AO9" i="106"/>
  <c r="AN9" i="106"/>
  <c r="Z9" i="106"/>
  <c r="AL9" i="106"/>
  <c r="AI9" i="106"/>
  <c r="AK9" i="106"/>
  <c r="AH9" i="106" s="1"/>
  <c r="AO8" i="106"/>
  <c r="AN8" i="106" s="1"/>
  <c r="AK8" i="106"/>
  <c r="AH8" i="106" s="1"/>
  <c r="Z8" i="106"/>
  <c r="AF37" i="105"/>
  <c r="AE37" i="105"/>
  <c r="Z37" i="105"/>
  <c r="AF36" i="105"/>
  <c r="AE36" i="105"/>
  <c r="Z36" i="105"/>
  <c r="AF33" i="105"/>
  <c r="AE33" i="105"/>
  <c r="V4" i="105"/>
  <c r="V27" i="105"/>
  <c r="AO27" i="105"/>
  <c r="AN27" i="105"/>
  <c r="Z27" i="105"/>
  <c r="AO25" i="105"/>
  <c r="AN25" i="105" s="1"/>
  <c r="Z25" i="105"/>
  <c r="AO19" i="105"/>
  <c r="AN19" i="105" s="1"/>
  <c r="Z19" i="105"/>
  <c r="AL19" i="105"/>
  <c r="AI19" i="105" s="1"/>
  <c r="AK19" i="105"/>
  <c r="AH19" i="105" s="1"/>
  <c r="AO18" i="105"/>
  <c r="AN18" i="105"/>
  <c r="Z18" i="105"/>
  <c r="AL18" i="105"/>
  <c r="AI18" i="105" s="1"/>
  <c r="AK18" i="105"/>
  <c r="AH18" i="105" s="1"/>
  <c r="AO17" i="105"/>
  <c r="AN17" i="105"/>
  <c r="Z17" i="105"/>
  <c r="AL17" i="105"/>
  <c r="AI17" i="105" s="1"/>
  <c r="AK17" i="105"/>
  <c r="AH17" i="105" s="1"/>
  <c r="AO16" i="105"/>
  <c r="AN16" i="105"/>
  <c r="Z16" i="105"/>
  <c r="AL16" i="105"/>
  <c r="AK16" i="105"/>
  <c r="AH16" i="105" s="1"/>
  <c r="AI16" i="105"/>
  <c r="AO15" i="105"/>
  <c r="AN15" i="105"/>
  <c r="Z15" i="105" s="1"/>
  <c r="AL15" i="105"/>
  <c r="AK15" i="105"/>
  <c r="AH15" i="105" s="1"/>
  <c r="AI15" i="105"/>
  <c r="AO14" i="105"/>
  <c r="AN14" i="105" s="1"/>
  <c r="Z14" i="105" s="1"/>
  <c r="AL14" i="105"/>
  <c r="AI14" i="105"/>
  <c r="AK14" i="105"/>
  <c r="AH14" i="105" s="1"/>
  <c r="AO11" i="105"/>
  <c r="AN11" i="105"/>
  <c r="Z11" i="105" s="1"/>
  <c r="AL11" i="105"/>
  <c r="AI11" i="105"/>
  <c r="AK11" i="105"/>
  <c r="AH11" i="105" s="1"/>
  <c r="AO10" i="105"/>
  <c r="AN10" i="105" s="1"/>
  <c r="Z10" i="105" s="1"/>
  <c r="AL10" i="105"/>
  <c r="AI10" i="105"/>
  <c r="AK10" i="105"/>
  <c r="AH10" i="105" s="1"/>
  <c r="AO9" i="105"/>
  <c r="AN9" i="105"/>
  <c r="Z9" i="105" s="1"/>
  <c r="AL9" i="105"/>
  <c r="AK9" i="105"/>
  <c r="AH9" i="105" s="1"/>
  <c r="AI9" i="105"/>
  <c r="AO8" i="105"/>
  <c r="AN8" i="105"/>
  <c r="Z8" i="105" s="1"/>
  <c r="AK8" i="105"/>
  <c r="AH8" i="105" s="1"/>
  <c r="P33" i="104"/>
  <c r="X33" i="104" s="1"/>
  <c r="AF37" i="104"/>
  <c r="AE37" i="104"/>
  <c r="P37" i="104"/>
  <c r="V37" i="104" s="1"/>
  <c r="Z37" i="104"/>
  <c r="Z33" i="104"/>
  <c r="Z38" i="104" s="1"/>
  <c r="AF36" i="104"/>
  <c r="AE36" i="104"/>
  <c r="P36" i="104"/>
  <c r="Z36" i="104"/>
  <c r="AF33" i="104"/>
  <c r="AE33" i="104"/>
  <c r="V4" i="104"/>
  <c r="AO27" i="104"/>
  <c r="AN27" i="104" s="1"/>
  <c r="Z27" i="104"/>
  <c r="AO25" i="104"/>
  <c r="AN25" i="104"/>
  <c r="Z25" i="104"/>
  <c r="AO19" i="104"/>
  <c r="AN19" i="104" s="1"/>
  <c r="Z19" i="104"/>
  <c r="AL19" i="104"/>
  <c r="AI19" i="104" s="1"/>
  <c r="AK19" i="104"/>
  <c r="AH19" i="104" s="1"/>
  <c r="AO18" i="104"/>
  <c r="AN18" i="104"/>
  <c r="Z18" i="104"/>
  <c r="AL18" i="104"/>
  <c r="AI18" i="104"/>
  <c r="AE18" i="104" s="1"/>
  <c r="AK18" i="104"/>
  <c r="AH18" i="104" s="1"/>
  <c r="AO17" i="104"/>
  <c r="AN17" i="104"/>
  <c r="Z17" i="104"/>
  <c r="AL17" i="104"/>
  <c r="AI17" i="104"/>
  <c r="AK17" i="104"/>
  <c r="AH17" i="104" s="1"/>
  <c r="AO16" i="104"/>
  <c r="AN16" i="104" s="1"/>
  <c r="Z16" i="104"/>
  <c r="AL16" i="104"/>
  <c r="AI16" i="104"/>
  <c r="AK16" i="104"/>
  <c r="AH16" i="104" s="1"/>
  <c r="AO15" i="104"/>
  <c r="AN15" i="104"/>
  <c r="Z15" i="104"/>
  <c r="AL15" i="104"/>
  <c r="AK15" i="104"/>
  <c r="AH15" i="104" s="1"/>
  <c r="AI15" i="104"/>
  <c r="AO14" i="104"/>
  <c r="AN14" i="104" s="1"/>
  <c r="Z14" i="104"/>
  <c r="AL14" i="104"/>
  <c r="AI14" i="104"/>
  <c r="AE14" i="104" s="1"/>
  <c r="AK14" i="104"/>
  <c r="AH14" i="104" s="1"/>
  <c r="AO11" i="104"/>
  <c r="AN11" i="104"/>
  <c r="Z11" i="104"/>
  <c r="AL11" i="104"/>
  <c r="AI11" i="104"/>
  <c r="AK11" i="104"/>
  <c r="AH11" i="104" s="1"/>
  <c r="AO10" i="104"/>
  <c r="AN10" i="104" s="1"/>
  <c r="Z10" i="104"/>
  <c r="AL10" i="104"/>
  <c r="AI10" i="104" s="1"/>
  <c r="AK10" i="104"/>
  <c r="AH10" i="104" s="1"/>
  <c r="AO9" i="104"/>
  <c r="AN9" i="104"/>
  <c r="Z9" i="104"/>
  <c r="AL9" i="104"/>
  <c r="AI9" i="104" s="1"/>
  <c r="AK9" i="104"/>
  <c r="AH9" i="104" s="1"/>
  <c r="AO8" i="104"/>
  <c r="AN8" i="104" s="1"/>
  <c r="Z8" i="104"/>
  <c r="AK8" i="104"/>
  <c r="AH8" i="104" s="1"/>
  <c r="AF37" i="103"/>
  <c r="AE37" i="103"/>
  <c r="P37" i="103"/>
  <c r="X37" i="103"/>
  <c r="Z37" i="103"/>
  <c r="AF36" i="103"/>
  <c r="AE36" i="103"/>
  <c r="P36" i="103"/>
  <c r="Z36" i="103"/>
  <c r="Z33" i="103"/>
  <c r="Z38" i="103" s="1"/>
  <c r="AF33" i="103"/>
  <c r="AE33" i="103"/>
  <c r="V4" i="103"/>
  <c r="AD9" i="103" s="1"/>
  <c r="V27" i="103"/>
  <c r="AO27" i="103"/>
  <c r="AN27" i="103"/>
  <c r="Z27" i="103"/>
  <c r="AO25" i="103"/>
  <c r="AN25" i="103"/>
  <c r="Z25" i="103"/>
  <c r="AO19" i="103"/>
  <c r="AN19" i="103"/>
  <c r="Z19" i="103"/>
  <c r="AL19" i="103"/>
  <c r="AI19" i="103" s="1"/>
  <c r="AK19" i="103"/>
  <c r="AH19" i="103" s="1"/>
  <c r="AO18" i="103"/>
  <c r="AN18" i="103"/>
  <c r="Z18" i="103"/>
  <c r="AL18" i="103"/>
  <c r="AI18" i="103"/>
  <c r="AE18" i="103" s="1"/>
  <c r="AK18" i="103"/>
  <c r="AH18" i="103"/>
  <c r="AO17" i="103"/>
  <c r="AN17" i="103" s="1"/>
  <c r="Z17" i="103"/>
  <c r="AL17" i="103"/>
  <c r="AI17" i="103"/>
  <c r="AK17" i="103"/>
  <c r="AH17" i="103"/>
  <c r="AO16" i="103"/>
  <c r="AN16" i="103"/>
  <c r="Z16" i="103"/>
  <c r="AL16" i="103"/>
  <c r="AI16" i="103"/>
  <c r="AK16" i="103"/>
  <c r="AH16" i="103" s="1"/>
  <c r="AO15" i="103"/>
  <c r="AN15" i="103"/>
  <c r="Z15" i="103"/>
  <c r="AL15" i="103"/>
  <c r="AI15" i="103"/>
  <c r="AE15" i="103" s="1"/>
  <c r="AK15" i="103"/>
  <c r="AH15" i="103"/>
  <c r="AO14" i="103"/>
  <c r="AN14" i="103"/>
  <c r="Z14" i="103"/>
  <c r="AL14" i="103"/>
  <c r="AI14" i="103"/>
  <c r="AK14" i="103"/>
  <c r="AH14" i="103"/>
  <c r="AO11" i="103"/>
  <c r="AN11" i="103" s="1"/>
  <c r="Z11" i="103"/>
  <c r="AK11" i="103"/>
  <c r="AH11" i="103"/>
  <c r="AO10" i="103"/>
  <c r="AN10" i="103"/>
  <c r="Z10" i="103"/>
  <c r="AL10" i="103"/>
  <c r="AI10" i="103" s="1"/>
  <c r="AK10" i="103"/>
  <c r="AH10" i="103"/>
  <c r="AO9" i="103"/>
  <c r="AN9" i="103"/>
  <c r="Z9" i="103"/>
  <c r="AL9" i="103"/>
  <c r="AI9" i="103"/>
  <c r="AK9" i="103"/>
  <c r="AH9" i="103" s="1"/>
  <c r="AO8" i="103"/>
  <c r="AN8" i="103"/>
  <c r="Z8" i="103"/>
  <c r="AL8" i="103"/>
  <c r="AI8" i="103" s="1"/>
  <c r="AK8" i="103"/>
  <c r="AH8" i="103" s="1"/>
  <c r="P33" i="102"/>
  <c r="V33" i="102" s="1"/>
  <c r="P36" i="102"/>
  <c r="P37" i="102"/>
  <c r="X37" i="102" s="1"/>
  <c r="Y41" i="102"/>
  <c r="L41" i="102" s="1"/>
  <c r="AF37" i="102"/>
  <c r="AE37" i="102"/>
  <c r="Z37" i="102"/>
  <c r="AF36" i="102"/>
  <c r="AE36" i="102"/>
  <c r="Z36" i="102"/>
  <c r="Z33" i="102"/>
  <c r="Z38" i="102" s="1"/>
  <c r="AF33" i="102"/>
  <c r="AE33" i="102"/>
  <c r="V4" i="102"/>
  <c r="AD16" i="102" s="1"/>
  <c r="V36" i="102"/>
  <c r="AO27" i="102"/>
  <c r="AN27" i="102" s="1"/>
  <c r="Z27" i="102"/>
  <c r="AO25" i="102"/>
  <c r="AN25" i="102" s="1"/>
  <c r="Z25" i="102"/>
  <c r="AO19" i="102"/>
  <c r="AN19" i="102" s="1"/>
  <c r="Z19" i="102"/>
  <c r="AK19" i="102"/>
  <c r="AH19" i="102"/>
  <c r="AO18" i="102"/>
  <c r="AN18" i="102"/>
  <c r="Z18" i="102"/>
  <c r="AL18" i="102"/>
  <c r="AI18" i="102" s="1"/>
  <c r="AK18" i="102"/>
  <c r="AH18" i="102"/>
  <c r="AO17" i="102"/>
  <c r="AN17" i="102"/>
  <c r="Z17" i="102"/>
  <c r="AL17" i="102"/>
  <c r="AI17" i="102"/>
  <c r="AK17" i="102"/>
  <c r="AH17" i="102" s="1"/>
  <c r="AO16" i="102"/>
  <c r="AN16" i="102"/>
  <c r="Z16" i="102"/>
  <c r="AL16" i="102"/>
  <c r="AI16" i="102" s="1"/>
  <c r="AE16" i="102" s="1"/>
  <c r="AK16" i="102"/>
  <c r="AH16" i="102"/>
  <c r="AO15" i="102"/>
  <c r="AN15" i="102"/>
  <c r="Z15" i="102"/>
  <c r="AL15" i="102"/>
  <c r="AI15" i="102"/>
  <c r="AK15" i="102"/>
  <c r="AH15" i="102" s="1"/>
  <c r="AO14" i="102"/>
  <c r="AN14" i="102"/>
  <c r="Z14" i="102"/>
  <c r="AL14" i="102"/>
  <c r="AI14" i="102"/>
  <c r="AK14" i="102"/>
  <c r="AH14" i="102"/>
  <c r="AO11" i="102"/>
  <c r="AN11" i="102"/>
  <c r="Z11" i="102"/>
  <c r="AL11" i="102"/>
  <c r="AI11" i="102"/>
  <c r="AK11" i="102"/>
  <c r="AH11" i="102"/>
  <c r="AO10" i="102"/>
  <c r="AN10" i="102" s="1"/>
  <c r="Z10" i="102"/>
  <c r="AL10" i="102"/>
  <c r="AI10" i="102"/>
  <c r="AK10" i="102"/>
  <c r="AH10" i="102" s="1"/>
  <c r="AO9" i="102"/>
  <c r="AN9" i="102" s="1"/>
  <c r="Z9" i="102"/>
  <c r="AK9" i="102"/>
  <c r="AH9" i="102"/>
  <c r="AO8" i="102"/>
  <c r="AN8" i="102" s="1"/>
  <c r="Z8" i="102"/>
  <c r="AK8" i="102"/>
  <c r="AH8" i="102" s="1"/>
  <c r="AF37" i="92"/>
  <c r="AE37" i="92"/>
  <c r="P37" i="92"/>
  <c r="V37" i="92" s="1"/>
  <c r="Z37" i="92"/>
  <c r="AF36" i="92"/>
  <c r="AE36" i="92"/>
  <c r="P36" i="92"/>
  <c r="V36" i="92" s="1"/>
  <c r="Z36" i="92"/>
  <c r="AF33" i="92"/>
  <c r="AE33" i="92"/>
  <c r="Z27" i="92"/>
  <c r="AO25" i="92"/>
  <c r="AN25" i="92" s="1"/>
  <c r="Z25" i="92" s="1"/>
  <c r="V4" i="92"/>
  <c r="AD13" i="92" s="1"/>
  <c r="V13" i="92" s="1"/>
  <c r="V27" i="92"/>
  <c r="AO19" i="92"/>
  <c r="AN19" i="92"/>
  <c r="Z19" i="92"/>
  <c r="AL19" i="92"/>
  <c r="AI19" i="92"/>
  <c r="AK19" i="92"/>
  <c r="AH19" i="92"/>
  <c r="AO18" i="92"/>
  <c r="AN18" i="92"/>
  <c r="Z18" i="92"/>
  <c r="AL18" i="92"/>
  <c r="AI18" i="92"/>
  <c r="AK18" i="92"/>
  <c r="AH18" i="92"/>
  <c r="AO17" i="92"/>
  <c r="AN17" i="92" s="1"/>
  <c r="Z17" i="92"/>
  <c r="AL17" i="92"/>
  <c r="AI17" i="92"/>
  <c r="AK17" i="92"/>
  <c r="AH17" i="92"/>
  <c r="AO16" i="92"/>
  <c r="AN16" i="92"/>
  <c r="Z16" i="92"/>
  <c r="AL16" i="92"/>
  <c r="AI16" i="92" s="1"/>
  <c r="AK16" i="92"/>
  <c r="AH16" i="92"/>
  <c r="AO15" i="92"/>
  <c r="AN15" i="92"/>
  <c r="Z15" i="92"/>
  <c r="AL15" i="92"/>
  <c r="AI15" i="92" s="1"/>
  <c r="AK15" i="92"/>
  <c r="AH15" i="92"/>
  <c r="AO14" i="92"/>
  <c r="AN14" i="92"/>
  <c r="Z14" i="92"/>
  <c r="AL14" i="92"/>
  <c r="AI14" i="92" s="1"/>
  <c r="AE14" i="92" s="1"/>
  <c r="AK14" i="92"/>
  <c r="AH14" i="92" s="1"/>
  <c r="AO11" i="92"/>
  <c r="AN11" i="92"/>
  <c r="Z11" i="92" s="1"/>
  <c r="AL11" i="92"/>
  <c r="AI11" i="92"/>
  <c r="AK11" i="92"/>
  <c r="AH11" i="92"/>
  <c r="AO10" i="92"/>
  <c r="AN10" i="92"/>
  <c r="Z10" i="92" s="1"/>
  <c r="AL10" i="92"/>
  <c r="AI10" i="92"/>
  <c r="AK10" i="92"/>
  <c r="AH10" i="92"/>
  <c r="AO9" i="92"/>
  <c r="AN9" i="92" s="1"/>
  <c r="Z9" i="92" s="1"/>
  <c r="AK9" i="92"/>
  <c r="AH9" i="92"/>
  <c r="AO8" i="92"/>
  <c r="AN8" i="92"/>
  <c r="Z8" i="92" s="1"/>
  <c r="AL8" i="92"/>
  <c r="AI8" i="92"/>
  <c r="AE8" i="92" s="1"/>
  <c r="X8" i="92" s="1"/>
  <c r="AK8" i="92"/>
  <c r="AH8" i="92"/>
  <c r="AL17" i="97"/>
  <c r="AK17" i="97"/>
  <c r="AJ17" i="97"/>
  <c r="AI17" i="97"/>
  <c r="AH17" i="97"/>
  <c r="O18" i="97" s="1"/>
  <c r="AG17" i="97"/>
  <c r="O17" i="97" s="1"/>
  <c r="X10" i="103"/>
  <c r="X11" i="107"/>
  <c r="AB22" i="109"/>
  <c r="L33" i="109"/>
  <c r="AI23" i="109"/>
  <c r="AB21" i="109"/>
  <c r="L32" i="109"/>
  <c r="X11" i="108"/>
  <c r="X15" i="108"/>
  <c r="X15" i="102"/>
  <c r="X14" i="103"/>
  <c r="X18" i="103"/>
  <c r="X27" i="103"/>
  <c r="X27" i="105"/>
  <c r="X14" i="108"/>
  <c r="X16" i="108"/>
  <c r="X17" i="108"/>
  <c r="X19" i="105"/>
  <c r="X17" i="103"/>
  <c r="X25" i="103"/>
  <c r="X19" i="108"/>
  <c r="X17" i="107"/>
  <c r="X14" i="107"/>
  <c r="V25" i="103"/>
  <c r="V14" i="108"/>
  <c r="V19" i="108"/>
  <c r="V10" i="104"/>
  <c r="V27" i="108"/>
  <c r="X10" i="102"/>
  <c r="X16" i="103"/>
  <c r="X10" i="108"/>
  <c r="X18" i="108"/>
  <c r="X25" i="108"/>
  <c r="X27" i="108"/>
  <c r="X37" i="108"/>
  <c r="X15" i="103"/>
  <c r="X19" i="103"/>
  <c r="V16" i="104"/>
  <c r="X16" i="92"/>
  <c r="X36" i="102"/>
  <c r="V8" i="108"/>
  <c r="X14" i="102"/>
  <c r="V27" i="102"/>
  <c r="V8" i="103"/>
  <c r="V16" i="103"/>
  <c r="V10" i="103"/>
  <c r="X9" i="107"/>
  <c r="X10" i="107"/>
  <c r="X19" i="107"/>
  <c r="V18" i="105"/>
  <c r="X37" i="107"/>
  <c r="V16" i="105"/>
  <c r="X18" i="102"/>
  <c r="V11" i="102"/>
  <c r="X16" i="102"/>
  <c r="X25" i="102"/>
  <c r="X27" i="102"/>
  <c r="X33" i="102"/>
  <c r="V27" i="107"/>
  <c r="X11" i="102"/>
  <c r="X17" i="102"/>
  <c r="V19" i="103"/>
  <c r="X15" i="92"/>
  <c r="X19" i="92"/>
  <c r="V9" i="103"/>
  <c r="V15" i="103"/>
  <c r="V17" i="105"/>
  <c r="V19" i="105"/>
  <c r="V18" i="106"/>
  <c r="X16" i="107"/>
  <c r="X25" i="107"/>
  <c r="X27" i="107"/>
  <c r="V11" i="108"/>
  <c r="V16" i="108"/>
  <c r="V17" i="108"/>
  <c r="V18" i="108"/>
  <c r="X34" i="102"/>
  <c r="X26" i="102"/>
  <c r="X13" i="102"/>
  <c r="X12" i="102"/>
  <c r="X35" i="102"/>
  <c r="V33" i="106"/>
  <c r="V26" i="106"/>
  <c r="V34" i="106"/>
  <c r="V12" i="106"/>
  <c r="V35" i="106"/>
  <c r="V13" i="106"/>
  <c r="V36" i="106"/>
  <c r="V37" i="106"/>
  <c r="X35" i="92"/>
  <c r="X26" i="92"/>
  <c r="X26" i="104"/>
  <c r="X35" i="104"/>
  <c r="X13" i="104"/>
  <c r="X12" i="104"/>
  <c r="X34" i="104"/>
  <c r="X33" i="106"/>
  <c r="X26" i="106"/>
  <c r="X13" i="106"/>
  <c r="X35" i="106"/>
  <c r="X34" i="106"/>
  <c r="X12" i="106"/>
  <c r="AE17" i="92"/>
  <c r="X17" i="92"/>
  <c r="V26" i="103"/>
  <c r="V12" i="103"/>
  <c r="V13" i="103"/>
  <c r="X36" i="104"/>
  <c r="V26" i="105"/>
  <c r="V35" i="105"/>
  <c r="V36" i="105"/>
  <c r="V14" i="106"/>
  <c r="V25" i="106"/>
  <c r="X27" i="106"/>
  <c r="X37" i="106"/>
  <c r="V26" i="108"/>
  <c r="V34" i="108"/>
  <c r="V35" i="108"/>
  <c r="V12" i="108"/>
  <c r="V13" i="108"/>
  <c r="X26" i="107"/>
  <c r="AE12" i="107"/>
  <c r="X12" i="107"/>
  <c r="X13" i="107"/>
  <c r="X35" i="107"/>
  <c r="X14" i="92"/>
  <c r="X18" i="92"/>
  <c r="V26" i="92"/>
  <c r="V35" i="92"/>
  <c r="V26" i="102"/>
  <c r="V12" i="102"/>
  <c r="V13" i="102"/>
  <c r="V11" i="103"/>
  <c r="V14" i="103"/>
  <c r="V17" i="103"/>
  <c r="V18" i="103"/>
  <c r="V37" i="103"/>
  <c r="V33" i="104"/>
  <c r="V34" i="104"/>
  <c r="V26" i="104"/>
  <c r="V27" i="104"/>
  <c r="V13" i="104"/>
  <c r="V35" i="104"/>
  <c r="V12" i="104"/>
  <c r="V36" i="104"/>
  <c r="V37" i="105"/>
  <c r="X15" i="107"/>
  <c r="AE18" i="107"/>
  <c r="X18" i="107"/>
  <c r="V26" i="107"/>
  <c r="V12" i="107"/>
  <c r="V13" i="107"/>
  <c r="V10" i="108"/>
  <c r="V15" i="108"/>
  <c r="X26" i="103"/>
  <c r="X13" i="103"/>
  <c r="X12" i="103"/>
  <c r="X25" i="105"/>
  <c r="X35" i="105"/>
  <c r="X26" i="105"/>
  <c r="AE12" i="105"/>
  <c r="X12" i="105" s="1"/>
  <c r="X9" i="108"/>
  <c r="X26" i="108"/>
  <c r="X34" i="108"/>
  <c r="X12" i="108"/>
  <c r="X35" i="108"/>
  <c r="X13" i="108"/>
  <c r="AG23" i="109"/>
  <c r="AB23" i="109"/>
  <c r="L34" i="109"/>
  <c r="AG19" i="109"/>
  <c r="AB20" i="109"/>
  <c r="L31" i="109"/>
  <c r="V37" i="102"/>
  <c r="V36" i="103"/>
  <c r="X36" i="103"/>
  <c r="X37" i="104"/>
  <c r="X37" i="105"/>
  <c r="X36" i="106"/>
  <c r="Y41" i="106"/>
  <c r="Z38" i="108"/>
  <c r="V36" i="108"/>
  <c r="X36" i="108"/>
  <c r="X9" i="102"/>
  <c r="X9" i="103"/>
  <c r="X16" i="104"/>
  <c r="L41" i="106"/>
  <c r="V11" i="107"/>
  <c r="V25" i="108"/>
  <c r="V19" i="107"/>
  <c r="X19" i="106"/>
  <c r="X17" i="106"/>
  <c r="V9" i="106"/>
  <c r="V15" i="106"/>
  <c r="V19" i="106"/>
  <c r="V11" i="106"/>
  <c r="V17" i="106"/>
  <c r="V8" i="106"/>
  <c r="V10" i="106"/>
  <c r="V16" i="106"/>
  <c r="AE16" i="105"/>
  <c r="X16" i="105"/>
  <c r="AE9" i="105"/>
  <c r="X9" i="105" s="1"/>
  <c r="X17" i="105"/>
  <c r="X18" i="105"/>
  <c r="V11" i="104"/>
  <c r="V17" i="104"/>
  <c r="V9" i="104"/>
  <c r="V15" i="104"/>
  <c r="V19" i="104"/>
  <c r="V8" i="104"/>
  <c r="V14" i="104"/>
  <c r="V18" i="104"/>
  <c r="V8" i="102"/>
  <c r="V14" i="102"/>
  <c r="V19" i="102"/>
  <c r="V18" i="102"/>
  <c r="V16" i="102"/>
  <c r="V15" i="102"/>
  <c r="V10" i="102"/>
  <c r="V17" i="102"/>
  <c r="V9" i="102"/>
  <c r="AE13" i="92"/>
  <c r="X13" i="92" s="1"/>
  <c r="X8" i="108"/>
  <c r="V14" i="107"/>
  <c r="V16" i="107"/>
  <c r="V17" i="107"/>
  <c r="V15" i="107"/>
  <c r="V18" i="107"/>
  <c r="V9" i="107"/>
  <c r="V25" i="107"/>
  <c r="V10" i="107"/>
  <c r="X9" i="106"/>
  <c r="X11" i="106"/>
  <c r="X25" i="106"/>
  <c r="X8" i="106"/>
  <c r="X15" i="106"/>
  <c r="X16" i="106"/>
  <c r="X18" i="106"/>
  <c r="X14" i="106"/>
  <c r="X10" i="106"/>
  <c r="V25" i="105"/>
  <c r="X10" i="104"/>
  <c r="X17" i="104"/>
  <c r="X25" i="104"/>
  <c r="X8" i="104"/>
  <c r="AE15" i="104"/>
  <c r="X15" i="104"/>
  <c r="X14" i="104"/>
  <c r="X11" i="104"/>
  <c r="V25" i="104"/>
  <c r="X9" i="104"/>
  <c r="X18" i="104"/>
  <c r="X19" i="104"/>
  <c r="X8" i="103"/>
  <c r="V25" i="102"/>
  <c r="X8" i="102"/>
  <c r="AD12" i="92"/>
  <c r="V12" i="92" s="1"/>
  <c r="V19" i="92"/>
  <c r="V14" i="92"/>
  <c r="V17" i="92"/>
  <c r="V16" i="92"/>
  <c r="AE9" i="92"/>
  <c r="X9" i="92" s="1"/>
  <c r="V18" i="92"/>
  <c r="V15" i="92"/>
  <c r="X25" i="92"/>
  <c r="N22" i="110"/>
  <c r="N19" i="110"/>
  <c r="Y41" i="104" l="1"/>
  <c r="L41" i="104" s="1"/>
  <c r="AE15" i="105"/>
  <c r="X15" i="105" s="1"/>
  <c r="AE9" i="102"/>
  <c r="AE8" i="106"/>
  <c r="AE10" i="102"/>
  <c r="X33" i="108"/>
  <c r="AD8" i="92"/>
  <c r="V8" i="92" s="1"/>
  <c r="AB19" i="109"/>
  <c r="X37" i="92"/>
  <c r="AD9" i="108"/>
  <c r="Y41" i="108"/>
  <c r="L41" i="108" s="1"/>
  <c r="X35" i="103"/>
  <c r="X36" i="92"/>
  <c r="AE11" i="103"/>
  <c r="Z34" i="92"/>
  <c r="Z38" i="92" s="1"/>
  <c r="P33" i="107"/>
  <c r="Z33" i="107" s="1"/>
  <c r="Z38" i="107" s="1"/>
  <c r="X36" i="107"/>
  <c r="V25" i="92"/>
  <c r="V28" i="92" s="1"/>
  <c r="AE18" i="105"/>
  <c r="AE13" i="104"/>
  <c r="AD13" i="103"/>
  <c r="AD10" i="92"/>
  <c r="V10" i="92" s="1"/>
  <c r="AE14" i="105"/>
  <c r="X14" i="105" s="1"/>
  <c r="X34" i="107"/>
  <c r="V34" i="107"/>
  <c r="V34" i="103"/>
  <c r="X34" i="103"/>
  <c r="X34" i="105"/>
  <c r="V34" i="105"/>
  <c r="V34" i="92"/>
  <c r="L30" i="109"/>
  <c r="L35" i="109" s="1"/>
  <c r="X33" i="103"/>
  <c r="V33" i="103"/>
  <c r="R17" i="110"/>
  <c r="R25" i="110" s="1"/>
  <c r="N17" i="110"/>
  <c r="N25" i="110" s="1"/>
  <c r="P17" i="110"/>
  <c r="P25" i="110" s="1"/>
  <c r="Y30" i="110"/>
  <c r="P30" i="110" s="1"/>
  <c r="X33" i="107"/>
  <c r="Y41" i="107"/>
  <c r="L41" i="107" s="1"/>
  <c r="V33" i="107"/>
  <c r="V38" i="107" s="1"/>
  <c r="Y41" i="103"/>
  <c r="L41" i="103" s="1"/>
  <c r="P33" i="105"/>
  <c r="X33" i="92"/>
  <c r="X38" i="92" s="1"/>
  <c r="V33" i="92"/>
  <c r="Y41" i="92"/>
  <c r="L41" i="92" s="1"/>
  <c r="AD19" i="103"/>
  <c r="AD9" i="92"/>
  <c r="V9" i="92" s="1"/>
  <c r="AD11" i="92"/>
  <c r="V11" i="92" s="1"/>
  <c r="AE8" i="104"/>
  <c r="AE17" i="105"/>
  <c r="AE10" i="105"/>
  <c r="X10" i="105" s="1"/>
  <c r="Z28" i="106"/>
  <c r="X28" i="104"/>
  <c r="AD16" i="92"/>
  <c r="AE11" i="104"/>
  <c r="AE17" i="104"/>
  <c r="AE19" i="105"/>
  <c r="AD19" i="92"/>
  <c r="AE19" i="104"/>
  <c r="AE12" i="104"/>
  <c r="AD17" i="92"/>
  <c r="AE10" i="104"/>
  <c r="AE14" i="103"/>
  <c r="N12" i="110"/>
  <c r="X28" i="92"/>
  <c r="X28" i="107"/>
  <c r="AD14" i="104"/>
  <c r="Z28" i="92"/>
  <c r="AD17" i="108"/>
  <c r="P12" i="110"/>
  <c r="AD13" i="108"/>
  <c r="AD11" i="104"/>
  <c r="Z28" i="108"/>
  <c r="X28" i="103"/>
  <c r="V38" i="102"/>
  <c r="Z28" i="103"/>
  <c r="AD8" i="104"/>
  <c r="AE11" i="105"/>
  <c r="X11" i="105" s="1"/>
  <c r="Z20" i="108"/>
  <c r="W44" i="108" s="1"/>
  <c r="R12" i="110"/>
  <c r="AD9" i="102"/>
  <c r="AE15" i="92"/>
  <c r="V28" i="104"/>
  <c r="AE16" i="106"/>
  <c r="Z28" i="105"/>
  <c r="AD19" i="107"/>
  <c r="X38" i="102"/>
  <c r="V38" i="104"/>
  <c r="AE18" i="102"/>
  <c r="AE9" i="103"/>
  <c r="AE12" i="103"/>
  <c r="AD12" i="108"/>
  <c r="AE12" i="102"/>
  <c r="AE14" i="102"/>
  <c r="AE10" i="103"/>
  <c r="AE16" i="103"/>
  <c r="AD15" i="108"/>
  <c r="AD13" i="107"/>
  <c r="AD8" i="107"/>
  <c r="V8" i="107" s="1"/>
  <c r="V20" i="107" s="1"/>
  <c r="AD10" i="107"/>
  <c r="AE12" i="108"/>
  <c r="AD18" i="108"/>
  <c r="AE17" i="102"/>
  <c r="AD14" i="108"/>
  <c r="AD14" i="107"/>
  <c r="V28" i="103"/>
  <c r="AE11" i="102"/>
  <c r="AE19" i="103"/>
  <c r="V28" i="105"/>
  <c r="AD16" i="107"/>
  <c r="AE8" i="102"/>
  <c r="AE15" i="106"/>
  <c r="AD15" i="107"/>
  <c r="AE8" i="103"/>
  <c r="AD9" i="107"/>
  <c r="AD17" i="107"/>
  <c r="AE13" i="103"/>
  <c r="AD19" i="108"/>
  <c r="AE15" i="102"/>
  <c r="AE17" i="103"/>
  <c r="AD16" i="106"/>
  <c r="AD17" i="106"/>
  <c r="AE10" i="106"/>
  <c r="AE9" i="106"/>
  <c r="AE8" i="108"/>
  <c r="AE17" i="106"/>
  <c r="X28" i="102"/>
  <c r="AE18" i="92"/>
  <c r="AE9" i="104"/>
  <c r="AD11" i="107"/>
  <c r="Z20" i="104"/>
  <c r="AE14" i="108"/>
  <c r="AE14" i="106"/>
  <c r="AE13" i="108"/>
  <c r="V28" i="106"/>
  <c r="AE16" i="104"/>
  <c r="AD8" i="108"/>
  <c r="AD10" i="108"/>
  <c r="Z20" i="105"/>
  <c r="Z28" i="102"/>
  <c r="AD18" i="103"/>
  <c r="AE19" i="106"/>
  <c r="AE9" i="108"/>
  <c r="AD11" i="103"/>
  <c r="AD15" i="92"/>
  <c r="AE18" i="106"/>
  <c r="X28" i="106"/>
  <c r="V28" i="107"/>
  <c r="X28" i="108"/>
  <c r="X20" i="107"/>
  <c r="AE13" i="106"/>
  <c r="AE18" i="108"/>
  <c r="AD8" i="103"/>
  <c r="AE9" i="107"/>
  <c r="AE14" i="107"/>
  <c r="AD16" i="108"/>
  <c r="X38" i="104"/>
  <c r="AE11" i="106"/>
  <c r="V20" i="106"/>
  <c r="AE12" i="106"/>
  <c r="AD15" i="103"/>
  <c r="AE10" i="108"/>
  <c r="AE17" i="108"/>
  <c r="AD17" i="105"/>
  <c r="AD14" i="103"/>
  <c r="AE16" i="108"/>
  <c r="AD18" i="104"/>
  <c r="X38" i="106"/>
  <c r="V20" i="103"/>
  <c r="V20" i="108"/>
  <c r="X20" i="103"/>
  <c r="X20" i="108"/>
  <c r="Z20" i="103"/>
  <c r="W44" i="103" s="1"/>
  <c r="AD17" i="103"/>
  <c r="AD9" i="104"/>
  <c r="AD15" i="104"/>
  <c r="AD17" i="104"/>
  <c r="Z28" i="104"/>
  <c r="V28" i="102"/>
  <c r="AD19" i="102"/>
  <c r="X20" i="102"/>
  <c r="AD16" i="103"/>
  <c r="AD18" i="92"/>
  <c r="Z20" i="106"/>
  <c r="W44" i="106" s="1"/>
  <c r="AE13" i="102"/>
  <c r="V20" i="104"/>
  <c r="W42" i="104" s="1"/>
  <c r="X38" i="108"/>
  <c r="V38" i="108"/>
  <c r="AD14" i="92"/>
  <c r="Z20" i="102"/>
  <c r="AD13" i="104"/>
  <c r="V20" i="102"/>
  <c r="X20" i="106"/>
  <c r="AD19" i="104"/>
  <c r="V28" i="108"/>
  <c r="V38" i="106"/>
  <c r="AD9" i="105"/>
  <c r="V9" i="105" s="1"/>
  <c r="AD18" i="105"/>
  <c r="AD18" i="107"/>
  <c r="Z20" i="92"/>
  <c r="X20" i="104"/>
  <c r="X28" i="105"/>
  <c r="AD10" i="103"/>
  <c r="AD16" i="104"/>
  <c r="AD13" i="106"/>
  <c r="Z20" i="107"/>
  <c r="Z28" i="107"/>
  <c r="AD12" i="104"/>
  <c r="AD14" i="102"/>
  <c r="AD9" i="106"/>
  <c r="AD12" i="102"/>
  <c r="AD12" i="105"/>
  <c r="V12" i="105" s="1"/>
  <c r="AE10" i="92"/>
  <c r="X10" i="92" s="1"/>
  <c r="AD17" i="102"/>
  <c r="AD10" i="104"/>
  <c r="AD19" i="105"/>
  <c r="AD12" i="103"/>
  <c r="AD10" i="102"/>
  <c r="AD11" i="106"/>
  <c r="AD12" i="106"/>
  <c r="AD10" i="105"/>
  <c r="V10" i="105" s="1"/>
  <c r="AD14" i="105"/>
  <c r="V14" i="105" s="1"/>
  <c r="AE16" i="92"/>
  <c r="AE19" i="92"/>
  <c r="AD11" i="105"/>
  <c r="V11" i="105" s="1"/>
  <c r="AD16" i="105"/>
  <c r="AE15" i="108"/>
  <c r="AE19" i="102"/>
  <c r="AD18" i="102"/>
  <c r="AD8" i="102"/>
  <c r="AD15" i="105"/>
  <c r="V15" i="105" s="1"/>
  <c r="AD11" i="102"/>
  <c r="AE11" i="92"/>
  <c r="X11" i="92" s="1"/>
  <c r="AE11" i="108"/>
  <c r="AD13" i="102"/>
  <c r="AD15" i="102"/>
  <c r="AD8" i="106"/>
  <c r="AD19" i="106"/>
  <c r="AD14" i="106"/>
  <c r="AD13" i="105"/>
  <c r="V13" i="105" s="1"/>
  <c r="AD18" i="106"/>
  <c r="AD8" i="105"/>
  <c r="V8" i="105" s="1"/>
  <c r="AD10" i="106"/>
  <c r="AD15" i="106"/>
  <c r="X33" i="105" l="1"/>
  <c r="Z33" i="105"/>
  <c r="Z38" i="105" s="1"/>
  <c r="W32" i="110"/>
  <c r="X38" i="103"/>
  <c r="W43" i="103" s="1"/>
  <c r="V38" i="103"/>
  <c r="W42" i="103" s="1"/>
  <c r="V38" i="92"/>
  <c r="X38" i="107"/>
  <c r="W43" i="107" s="1"/>
  <c r="X38" i="105"/>
  <c r="V20" i="105"/>
  <c r="V20" i="92"/>
  <c r="V33" i="105"/>
  <c r="V38" i="105" s="1"/>
  <c r="W33" i="110"/>
  <c r="W31" i="110"/>
  <c r="Y41" i="105"/>
  <c r="L41" i="105" s="1"/>
  <c r="J11" i="97" s="1"/>
  <c r="W44" i="92"/>
  <c r="X20" i="105"/>
  <c r="X20" i="92"/>
  <c r="W43" i="92" s="1"/>
  <c r="W44" i="105"/>
  <c r="W43" i="106"/>
  <c r="W43" i="102"/>
  <c r="W44" i="104"/>
  <c r="W44" i="102"/>
  <c r="W42" i="107"/>
  <c r="W42" i="108"/>
  <c r="W43" i="104"/>
  <c r="W42" i="106"/>
  <c r="W44" i="107"/>
  <c r="W42" i="102"/>
  <c r="W43" i="108"/>
  <c r="W43" i="105" l="1"/>
  <c r="W42" i="92"/>
  <c r="AH20" i="97" s="1"/>
  <c r="X11" i="97" s="1"/>
  <c r="J18" i="97" s="1"/>
  <c r="T18" i="97" s="1"/>
  <c r="W42" i="105"/>
  <c r="AH19" i="97"/>
  <c r="J12" i="97" s="1"/>
  <c r="J17" i="97" s="1"/>
  <c r="T17" i="97" s="1"/>
  <c r="AH21" i="97"/>
  <c r="X12" i="97" s="1"/>
</calcChain>
</file>

<file path=xl/comments1.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2.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3.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4.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5.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6.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7.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8.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sharedStrings.xml><?xml version="1.0" encoding="utf-8"?>
<sst xmlns="http://schemas.openxmlformats.org/spreadsheetml/2006/main" count="879" uniqueCount="263">
  <si>
    <t>仕様番号</t>
    <rPh sb="0" eb="2">
      <t>シヨウ</t>
    </rPh>
    <rPh sb="2" eb="4">
      <t>バンゴウ</t>
    </rPh>
    <phoneticPr fontId="2"/>
  </si>
  <si>
    <t>外壁</t>
    <rPh sb="0" eb="2">
      <t>ガイヘキ</t>
    </rPh>
    <phoneticPr fontId="2"/>
  </si>
  <si>
    <t>階</t>
    <rPh sb="0" eb="1">
      <t>カイ</t>
    </rPh>
    <phoneticPr fontId="2"/>
  </si>
  <si>
    <t>ｙ2</t>
    <phoneticPr fontId="2"/>
  </si>
  <si>
    <t>冷房期</t>
    <rPh sb="0" eb="2">
      <t>レイボウ</t>
    </rPh>
    <rPh sb="2" eb="3">
      <t>キ</t>
    </rPh>
    <phoneticPr fontId="2"/>
  </si>
  <si>
    <t>1）窓の入力</t>
    <rPh sb="2" eb="3">
      <t>マド</t>
    </rPh>
    <rPh sb="4" eb="6">
      <t>ニュウリョク</t>
    </rPh>
    <phoneticPr fontId="2"/>
  </si>
  <si>
    <t>窓番号</t>
    <rPh sb="0" eb="1">
      <t>マド</t>
    </rPh>
    <rPh sb="1" eb="3">
      <t>バンゴウ</t>
    </rPh>
    <phoneticPr fontId="2"/>
  </si>
  <si>
    <t>熱貫流率</t>
    <rPh sb="0" eb="1">
      <t>ネツ</t>
    </rPh>
    <rPh sb="1" eb="3">
      <t>カンリュウ</t>
    </rPh>
    <rPh sb="3" eb="4">
      <t>リツ</t>
    </rPh>
    <phoneticPr fontId="2"/>
  </si>
  <si>
    <t>高さ</t>
    <rPh sb="0" eb="1">
      <t>タカ</t>
    </rPh>
    <phoneticPr fontId="2"/>
  </si>
  <si>
    <t>幅</t>
    <rPh sb="0" eb="1">
      <t>ハバ</t>
    </rPh>
    <phoneticPr fontId="2"/>
  </si>
  <si>
    <t>付属部材
の有無</t>
    <rPh sb="0" eb="2">
      <t>フゾク</t>
    </rPh>
    <rPh sb="2" eb="4">
      <t>ブザイ</t>
    </rPh>
    <rPh sb="6" eb="8">
      <t>ウム</t>
    </rPh>
    <phoneticPr fontId="2"/>
  </si>
  <si>
    <t>Z</t>
    <phoneticPr fontId="2"/>
  </si>
  <si>
    <t>ｙ1</t>
    <phoneticPr fontId="2"/>
  </si>
  <si>
    <t>熱損失</t>
    <rPh sb="0" eb="1">
      <t>ネツ</t>
    </rPh>
    <rPh sb="1" eb="3">
      <t>ソンシツ</t>
    </rPh>
    <phoneticPr fontId="2"/>
  </si>
  <si>
    <t>取得日射量補正係数</t>
    <rPh sb="0" eb="2">
      <t>シュトク</t>
    </rPh>
    <rPh sb="2" eb="4">
      <t>ニッシャ</t>
    </rPh>
    <rPh sb="4" eb="5">
      <t>リョウ</t>
    </rPh>
    <rPh sb="5" eb="7">
      <t>ホセイ</t>
    </rPh>
    <rPh sb="7" eb="9">
      <t>ケイスウ</t>
    </rPh>
    <phoneticPr fontId="2"/>
  </si>
  <si>
    <t>2）ドアの入力</t>
    <rPh sb="5" eb="7">
      <t>ニュウリョク</t>
    </rPh>
    <phoneticPr fontId="2"/>
  </si>
  <si>
    <t>ドア番号</t>
    <rPh sb="2" eb="4">
      <t>バンゴウ</t>
    </rPh>
    <phoneticPr fontId="2"/>
  </si>
  <si>
    <t>3）外壁の入力</t>
    <rPh sb="2" eb="4">
      <t>ガイヘキ</t>
    </rPh>
    <rPh sb="5" eb="7">
      <t>ニュウリョク</t>
    </rPh>
    <phoneticPr fontId="2"/>
  </si>
  <si>
    <t>暖房期</t>
    <rPh sb="0" eb="2">
      <t>ダンボウ</t>
    </rPh>
    <rPh sb="2" eb="3">
      <t>キ</t>
    </rPh>
    <phoneticPr fontId="2"/>
  </si>
  <si>
    <t>㎡）</t>
    <phoneticPr fontId="2"/>
  </si>
  <si>
    <t>　総熱損失</t>
    <rPh sb="1" eb="2">
      <t>ソウ</t>
    </rPh>
    <rPh sb="2" eb="3">
      <t>ネツ</t>
    </rPh>
    <rPh sb="3" eb="5">
      <t>ソンシツ</t>
    </rPh>
    <phoneticPr fontId="2"/>
  </si>
  <si>
    <t>W/K</t>
    <phoneticPr fontId="2"/>
  </si>
  <si>
    <t>ドア</t>
    <phoneticPr fontId="2"/>
  </si>
  <si>
    <t>（窓</t>
    <rPh sb="1" eb="2">
      <t>マド</t>
    </rPh>
    <phoneticPr fontId="2"/>
  </si>
  <si>
    <t>㎡</t>
    <phoneticPr fontId="2"/>
  </si>
  <si>
    <t>㎡、</t>
    <phoneticPr fontId="2"/>
  </si>
  <si>
    <t>1）基本情報の入力</t>
    <rPh sb="2" eb="4">
      <t>キホン</t>
    </rPh>
    <rPh sb="4" eb="6">
      <t>ジョウホウ</t>
    </rPh>
    <rPh sb="7" eb="9">
      <t>ニュウリョク</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</si>
  <si>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</si>
  <si>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</si>
  <si>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</si>
  <si>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（地域区分）</t>
    <rPh sb="1" eb="3">
      <t>チイキ</t>
    </rPh>
    <rPh sb="3" eb="5">
      <t>クブン</t>
    </rPh>
    <phoneticPr fontId="2"/>
  </si>
  <si>
    <t>地上</t>
    <rPh sb="0" eb="2">
      <t>チジョウ</t>
    </rPh>
    <phoneticPr fontId="2"/>
  </si>
  <si>
    <t>、地下</t>
    <rPh sb="1" eb="3">
      <t>チカ</t>
    </rPh>
    <phoneticPr fontId="2"/>
  </si>
  <si>
    <t>2）計算結果</t>
    <rPh sb="2" eb="4">
      <t>ケイサン</t>
    </rPh>
    <rPh sb="4" eb="6">
      <t>ケッカ</t>
    </rPh>
    <phoneticPr fontId="2"/>
  </si>
  <si>
    <t>W/（㎡K）</t>
    <phoneticPr fontId="2"/>
  </si>
  <si>
    <t>方位係数</t>
    <rPh sb="0" eb="2">
      <t>ホウイ</t>
    </rPh>
    <rPh sb="2" eb="4">
      <t>ケイスウ</t>
    </rPh>
    <phoneticPr fontId="2"/>
  </si>
  <si>
    <t>部位番号</t>
    <rPh sb="0" eb="2">
      <t>ブイ</t>
    </rPh>
    <rPh sb="2" eb="4">
      <t>バンゴウ</t>
    </rPh>
    <phoneticPr fontId="2"/>
  </si>
  <si>
    <t>部位名</t>
    <rPh sb="0" eb="2">
      <t>ブイ</t>
    </rPh>
    <rPh sb="2" eb="3">
      <t>メイ</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</si>
  <si>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</si>
  <si>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</si>
  <si>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</si>
  <si>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</si>
  <si>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</si>
  <si>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</si>
  <si>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</si>
  <si>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</si>
  <si>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</si>
  <si>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適　用
計算式
番　号</t>
    <rPh sb="0" eb="1">
      <t>テキ</t>
    </rPh>
    <rPh sb="2" eb="3">
      <t>ヨウ</t>
    </rPh>
    <rPh sb="4" eb="6">
      <t>ケイサン</t>
    </rPh>
    <rPh sb="6" eb="7">
      <t>シキ</t>
    </rPh>
    <rPh sb="8" eb="9">
      <t>バン</t>
    </rPh>
    <rPh sb="10" eb="11">
      <t>ゴウ</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</si>
  <si>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</si>
  <si>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2"/>
  </si>
  <si>
    <t>基礎等
外周長
Ｌ</t>
    <rPh sb="0" eb="2">
      <t>キソ</t>
    </rPh>
    <rPh sb="2" eb="3">
      <t>トウ</t>
    </rPh>
    <rPh sb="4" eb="6">
      <t>ガイシュウ</t>
    </rPh>
    <rPh sb="6" eb="7">
      <t>チョウ</t>
    </rPh>
    <phoneticPr fontId="2"/>
  </si>
  <si>
    <t>温度差
係　数</t>
    <rPh sb="0" eb="3">
      <t>オンドサ</t>
    </rPh>
    <rPh sb="4" eb="5">
      <t>カカ</t>
    </rPh>
    <rPh sb="6" eb="7">
      <t>スウ</t>
    </rPh>
    <phoneticPr fontId="2"/>
  </si>
  <si>
    <r>
      <t>内訳計算シートＣ　　</t>
    </r>
    <r>
      <rPr>
        <b/>
        <sz val="14"/>
        <rFont val="HG丸ｺﾞｼｯｸM-PRO"/>
        <family val="3"/>
        <charset val="128"/>
      </rPr>
      <t>＜基礎等＞</t>
    </r>
    <r>
      <rPr>
        <sz val="12"/>
        <rFont val="HG丸ｺﾞｼｯｸM-PRO"/>
        <family val="3"/>
        <charset val="128"/>
      </rPr>
      <t xml:space="preserve"> の熱損失量（基礎断熱及び土間床等の部分）</t>
    </r>
    <rPh sb="0" eb="2">
      <t>ウチワケ</t>
    </rPh>
    <rPh sb="2" eb="4">
      <t>ケイサン</t>
    </rPh>
    <rPh sb="11" eb="14">
      <t>キソトウ</t>
    </rPh>
    <rPh sb="17" eb="18">
      <t>ネツ</t>
    </rPh>
    <rPh sb="18" eb="20">
      <t>ソンシツ</t>
    </rPh>
    <rPh sb="20" eb="21">
      <t>リョウ</t>
    </rPh>
    <rPh sb="22" eb="24">
      <t>キソ</t>
    </rPh>
    <rPh sb="24" eb="26">
      <t>ダンネツ</t>
    </rPh>
    <rPh sb="26" eb="27">
      <t>オヨ</t>
    </rPh>
    <rPh sb="28" eb="30">
      <t>ドマ</t>
    </rPh>
    <rPh sb="30" eb="31">
      <t>ユカ</t>
    </rPh>
    <rPh sb="31" eb="32">
      <t>トウ</t>
    </rPh>
    <rPh sb="33" eb="35">
      <t>ブブン</t>
    </rPh>
    <phoneticPr fontId="2"/>
  </si>
  <si>
    <t>外壁
面積</t>
    <rPh sb="0" eb="2">
      <t>ガイヘキ</t>
    </rPh>
    <rPh sb="3" eb="5">
      <t>メンセキ</t>
    </rPh>
    <phoneticPr fontId="2"/>
  </si>
  <si>
    <t>計算対象
外壁面積</t>
    <rPh sb="0" eb="2">
      <t>ケイサン</t>
    </rPh>
    <rPh sb="2" eb="4">
      <t>タイショウ</t>
    </rPh>
    <rPh sb="5" eb="7">
      <t>ガイヘキ</t>
    </rPh>
    <rPh sb="7" eb="9">
      <t>メンセキ</t>
    </rPh>
    <phoneticPr fontId="2"/>
  </si>
  <si>
    <t>1）天窓等の入力</t>
    <rPh sb="2" eb="3">
      <t>テン</t>
    </rPh>
    <rPh sb="3" eb="4">
      <t>マド</t>
    </rPh>
    <rPh sb="4" eb="5">
      <t>トウ</t>
    </rPh>
    <rPh sb="6" eb="8">
      <t>ニュウリョク</t>
    </rPh>
    <phoneticPr fontId="2"/>
  </si>
  <si>
    <t>　外皮等面積（内訳）</t>
    <rPh sb="1" eb="3">
      <t>ガイヒ</t>
    </rPh>
    <rPh sb="3" eb="4">
      <t>トウ</t>
    </rPh>
    <rPh sb="4" eb="6">
      <t>メンセキ</t>
    </rPh>
    <rPh sb="7" eb="9">
      <t>ウチワケ</t>
    </rPh>
    <phoneticPr fontId="2"/>
  </si>
  <si>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2"/>
  </si>
  <si>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2"/>
  </si>
  <si>
    <t>屋根等
面積</t>
    <rPh sb="0" eb="2">
      <t>ヤネ</t>
    </rPh>
    <rPh sb="2" eb="3">
      <t>トウ</t>
    </rPh>
    <rPh sb="4" eb="6">
      <t>メンセキ</t>
    </rPh>
    <phoneticPr fontId="2"/>
  </si>
  <si>
    <t>面積</t>
    <rPh sb="0" eb="2">
      <t>メンセキ</t>
    </rPh>
    <phoneticPr fontId="2"/>
  </si>
  <si>
    <t>屋根等他</t>
    <rPh sb="2" eb="3">
      <t>トウ</t>
    </rPh>
    <rPh sb="3" eb="4">
      <t>ホカ</t>
    </rPh>
    <phoneticPr fontId="2"/>
  </si>
  <si>
    <t>天窓</t>
    <rPh sb="0" eb="1">
      <t>テン</t>
    </rPh>
    <rPh sb="1" eb="2">
      <t>マド</t>
    </rPh>
    <phoneticPr fontId="2"/>
  </si>
  <si>
    <t>土間床等面積合計</t>
    <rPh sb="0" eb="2">
      <t>ドマ</t>
    </rPh>
    <rPh sb="2" eb="3">
      <t>ユカ</t>
    </rPh>
    <rPh sb="3" eb="4">
      <t>トウ</t>
    </rPh>
    <rPh sb="4" eb="6">
      <t>メンセキ</t>
    </rPh>
    <rPh sb="6" eb="8">
      <t>ゴウケイ</t>
    </rPh>
    <phoneticPr fontId="2"/>
  </si>
  <si>
    <t>部位
名称</t>
    <rPh sb="0" eb="2">
      <t>ブイ</t>
    </rPh>
    <rPh sb="3" eb="5">
      <t>メイショウ</t>
    </rPh>
    <phoneticPr fontId="2"/>
  </si>
  <si>
    <t>　</t>
  </si>
  <si>
    <t>冷房期
日射熱
取得量</t>
    <rPh sb="0" eb="2">
      <t>レイボウ</t>
    </rPh>
    <rPh sb="2" eb="3">
      <t>キ</t>
    </rPh>
    <rPh sb="4" eb="6">
      <t>ニッシャ</t>
    </rPh>
    <rPh sb="6" eb="7">
      <t>ネツ</t>
    </rPh>
    <rPh sb="8" eb="10">
      <t>シュトク</t>
    </rPh>
    <rPh sb="10" eb="11">
      <t>リョウ</t>
    </rPh>
    <phoneticPr fontId="2"/>
  </si>
  <si>
    <t>暖房期
日射熱
取得量</t>
    <rPh sb="0" eb="2">
      <t>ダンボウ</t>
    </rPh>
    <rPh sb="2" eb="3">
      <t>キ</t>
    </rPh>
    <phoneticPr fontId="2"/>
  </si>
  <si>
    <t>冷房期
日射熱
取得量</t>
    <rPh sb="0" eb="2">
      <t>レイボウ</t>
    </rPh>
    <rPh sb="2" eb="3">
      <t>キ</t>
    </rPh>
    <phoneticPr fontId="2"/>
  </si>
  <si>
    <t>ﾃﾞﾌｫﾙﾄ
値使用</t>
    <rPh sb="7" eb="8">
      <t>アタイ</t>
    </rPh>
    <rPh sb="8" eb="10">
      <t>シヨウ</t>
    </rPh>
    <phoneticPr fontId="2"/>
  </si>
  <si>
    <t>庇による補正計算</t>
    <rPh sb="0" eb="1">
      <t>ヒサシ</t>
    </rPh>
    <rPh sb="4" eb="6">
      <t>ホセイ</t>
    </rPh>
    <rPh sb="6" eb="8">
      <t>ケイサン</t>
    </rPh>
    <phoneticPr fontId="2"/>
  </si>
  <si>
    <t>取得日射量補正係数の算出</t>
    <rPh sb="0" eb="2">
      <t>シュトク</t>
    </rPh>
    <rPh sb="2" eb="4">
      <t>ニッシャ</t>
    </rPh>
    <rPh sb="4" eb="5">
      <t>リョウ</t>
    </rPh>
    <rPh sb="5" eb="7">
      <t>ホセイ</t>
    </rPh>
    <rPh sb="7" eb="9">
      <t>ケイスウ</t>
    </rPh>
    <rPh sb="10" eb="12">
      <t>サンシュツ</t>
    </rPh>
    <phoneticPr fontId="2"/>
  </si>
  <si>
    <t>　冷房期総日射熱取得量</t>
    <rPh sb="1" eb="3">
      <t>レイボウ</t>
    </rPh>
    <rPh sb="3" eb="4">
      <t>キ</t>
    </rPh>
    <rPh sb="4" eb="5">
      <t>ソウ</t>
    </rPh>
    <rPh sb="5" eb="7">
      <t>ニッシャ</t>
    </rPh>
    <rPh sb="7" eb="8">
      <t>ネツ</t>
    </rPh>
    <rPh sb="8" eb="10">
      <t>シュトク</t>
    </rPh>
    <rPh sb="10" eb="11">
      <t>リョウ</t>
    </rPh>
    <phoneticPr fontId="2"/>
  </si>
  <si>
    <t>　暖房期総日射熱取得量</t>
    <rPh sb="1" eb="3">
      <t>ダンボウ</t>
    </rPh>
    <rPh sb="3" eb="4">
      <t>キ</t>
    </rPh>
    <rPh sb="4" eb="5">
      <t>ソウ</t>
    </rPh>
    <rPh sb="5" eb="7">
      <t>ニッシャ</t>
    </rPh>
    <rPh sb="7" eb="8">
      <t>ネツ</t>
    </rPh>
    <rPh sb="8" eb="10">
      <t>シュトク</t>
    </rPh>
    <rPh sb="10" eb="11">
      <t>リョウ</t>
    </rPh>
    <phoneticPr fontId="2"/>
  </si>
  <si>
    <t>日射熱取得量</t>
    <rPh sb="0" eb="2">
      <t>ニッシャ</t>
    </rPh>
    <rPh sb="2" eb="3">
      <t>ネツ</t>
    </rPh>
    <rPh sb="3" eb="5">
      <t>シュトク</t>
    </rPh>
    <rPh sb="5" eb="6">
      <t>リョウ</t>
    </rPh>
    <phoneticPr fontId="2"/>
  </si>
  <si>
    <t>取得日射量補正係数(FALSEの場合)</t>
    <rPh sb="0" eb="2">
      <t>シュトク</t>
    </rPh>
    <rPh sb="2" eb="4">
      <t>ニッシャ</t>
    </rPh>
    <rPh sb="4" eb="5">
      <t>リョウ</t>
    </rPh>
    <rPh sb="5" eb="7">
      <t>ホセイ</t>
    </rPh>
    <rPh sb="7" eb="9">
      <t>ケイスウ</t>
    </rPh>
    <rPh sb="16" eb="18">
      <t>バアイ</t>
    </rPh>
    <phoneticPr fontId="2"/>
  </si>
  <si>
    <r>
      <t>内訳計算シートＡ　　</t>
    </r>
    <r>
      <rPr>
        <b/>
        <sz val="14"/>
        <rFont val="HG丸ｺﾞｼｯｸM-PRO"/>
        <family val="3"/>
        <charset val="128"/>
      </rPr>
      <t>＜北面＞</t>
    </r>
    <r>
      <rPr>
        <b/>
        <sz val="12"/>
        <rFont val="HG丸ｺﾞｼｯｸM-PRO"/>
        <family val="3"/>
        <charset val="128"/>
      </rPr>
      <t xml:space="preserve"> </t>
    </r>
    <r>
      <rPr>
        <sz val="12"/>
        <rFont val="HG丸ｺﾞｼｯｸM-PRO"/>
        <family val="3"/>
        <charset val="128"/>
      </rPr>
      <t>の外皮熱損失量と日射熱取得量</t>
    </r>
    <rPh sb="0" eb="2">
      <t>ウチワケ</t>
    </rPh>
    <rPh sb="2" eb="4">
      <t>ケイサン</t>
    </rPh>
    <rPh sb="11" eb="12">
      <t>キタ</t>
    </rPh>
    <rPh sb="12" eb="13">
      <t>メン</t>
    </rPh>
    <rPh sb="23" eb="25">
      <t>ニッシャ</t>
    </rPh>
    <rPh sb="25" eb="26">
      <t>ネツ</t>
    </rPh>
    <rPh sb="26" eb="28">
      <t>シュトク</t>
    </rPh>
    <rPh sb="28" eb="29">
      <t>リョウ</t>
    </rPh>
    <phoneticPr fontId="2"/>
  </si>
  <si>
    <r>
      <t xml:space="preserve">窓 </t>
    </r>
    <r>
      <rPr>
        <b/>
        <sz val="11"/>
        <rFont val="HG丸ｺﾞｼｯｸM-PRO"/>
        <family val="3"/>
        <charset val="128"/>
      </rPr>
      <t>＜北面＞</t>
    </r>
    <r>
      <rPr>
        <sz val="11"/>
        <rFont val="HG丸ｺﾞｼｯｸM-PRO"/>
        <family val="3"/>
        <charset val="128"/>
      </rPr>
      <t xml:space="preserve"> 各値合計</t>
    </r>
    <rPh sb="0" eb="1">
      <t>マド</t>
    </rPh>
    <rPh sb="3" eb="4">
      <t>キタ</t>
    </rPh>
    <rPh sb="4" eb="5">
      <t>メン</t>
    </rPh>
    <rPh sb="7" eb="8">
      <t>カク</t>
    </rPh>
    <rPh sb="8" eb="9">
      <t>アタイ</t>
    </rPh>
    <rPh sb="9" eb="11">
      <t>ゴウケイ</t>
    </rPh>
    <phoneticPr fontId="2"/>
  </si>
  <si>
    <r>
      <t xml:space="preserve">外壁 </t>
    </r>
    <r>
      <rPr>
        <b/>
        <sz val="11"/>
        <rFont val="HG丸ｺﾞｼｯｸM-PRO"/>
        <family val="3"/>
        <charset val="128"/>
      </rPr>
      <t>＜北面＞</t>
    </r>
    <r>
      <rPr>
        <sz val="11"/>
        <rFont val="HG丸ｺﾞｼｯｸM-PRO"/>
        <family val="3"/>
        <charset val="128"/>
      </rPr>
      <t xml:space="preserve"> 各値合計</t>
    </r>
    <rPh sb="0" eb="2">
      <t>ガイヘキ</t>
    </rPh>
    <rPh sb="4" eb="5">
      <t>キタ</t>
    </rPh>
    <phoneticPr fontId="2"/>
  </si>
  <si>
    <t>北面</t>
    <rPh sb="0" eb="1">
      <t>キタ</t>
    </rPh>
    <rPh sb="1" eb="2">
      <t>メン</t>
    </rPh>
    <phoneticPr fontId="2"/>
  </si>
  <si>
    <t>H1≦0.4</t>
    <phoneticPr fontId="2"/>
  </si>
  <si>
    <t>W≦0.9</t>
    <phoneticPr fontId="2"/>
  </si>
  <si>
    <t xml:space="preserve"> 部分に入力するか、あるいはドロップボックスから選択してください。</t>
    <rPh sb="1" eb="3">
      <t>ブブン</t>
    </rPh>
    <rPh sb="4" eb="6">
      <t>ニュウリョク</t>
    </rPh>
    <rPh sb="24" eb="26">
      <t>センタク</t>
    </rPh>
    <phoneticPr fontId="2"/>
  </si>
  <si>
    <t>黄色</t>
    <rPh sb="0" eb="2">
      <t>キイロ</t>
    </rPh>
    <phoneticPr fontId="2"/>
  </si>
  <si>
    <t>⊿R</t>
  </si>
  <si>
    <t>⊿R</t>
    <phoneticPr fontId="2"/>
  </si>
  <si>
    <t>Ui</t>
  </si>
  <si>
    <t>Ui</t>
    <phoneticPr fontId="2"/>
  </si>
  <si>
    <t>補正熱貫流率</t>
  </si>
  <si>
    <t>補正熱貫流率</t>
    <rPh sb="0" eb="2">
      <t>ホセイ</t>
    </rPh>
    <rPh sb="2" eb="3">
      <t>ネツ</t>
    </rPh>
    <rPh sb="3" eb="5">
      <t>カンリュウ</t>
    </rPh>
    <rPh sb="5" eb="6">
      <t>リツ</t>
    </rPh>
    <phoneticPr fontId="2"/>
  </si>
  <si>
    <t>基礎等熱損失合計</t>
    <rPh sb="0" eb="2">
      <t>キソ</t>
    </rPh>
    <rPh sb="2" eb="3">
      <t>トウ</t>
    </rPh>
    <rPh sb="3" eb="4">
      <t>ネツ</t>
    </rPh>
    <rPh sb="4" eb="6">
      <t>ソンシツ</t>
    </rPh>
    <rPh sb="6" eb="8">
      <t>ゴウケイ</t>
    </rPh>
    <phoneticPr fontId="2"/>
  </si>
  <si>
    <t>寸法（ｍ）</t>
    <rPh sb="0" eb="2">
      <t>スンポウ</t>
    </rPh>
    <phoneticPr fontId="2"/>
  </si>
  <si>
    <t>温度差係数</t>
    <rPh sb="0" eb="3">
      <t>オンドサ</t>
    </rPh>
    <rPh sb="3" eb="5">
      <t>ケイスウ</t>
    </rPh>
    <phoneticPr fontId="2"/>
  </si>
  <si>
    <t>　　上表は分けて入力して下さい。その際、面積は重複しないように片方のみを入力して下さい。</t>
    <rPh sb="2" eb="3">
      <t>ジョウ</t>
    </rPh>
    <rPh sb="3" eb="4">
      <t>ヒョウ</t>
    </rPh>
    <rPh sb="5" eb="6">
      <t>ワ</t>
    </rPh>
    <rPh sb="8" eb="9">
      <t>ニュウ</t>
    </rPh>
    <rPh sb="9" eb="10">
      <t>リョク</t>
    </rPh>
    <rPh sb="12" eb="13">
      <t>クダ</t>
    </rPh>
    <phoneticPr fontId="2"/>
  </si>
  <si>
    <t>外皮性能基準値</t>
    <rPh sb="0" eb="2">
      <t>ガイヒ</t>
    </rPh>
    <rPh sb="2" eb="4">
      <t>セイノウ</t>
    </rPh>
    <rPh sb="4" eb="7">
      <t>キジュンチ</t>
    </rPh>
    <phoneticPr fontId="2"/>
  </si>
  <si>
    <t>3）省エネルギー基準外皮性能適合可否結果</t>
    <phoneticPr fontId="2"/>
  </si>
  <si>
    <t>計算結果</t>
  </si>
  <si>
    <t>基準値</t>
  </si>
  <si>
    <t>判定</t>
  </si>
  <si>
    <t>日射熱
取得率
※1</t>
    <rPh sb="0" eb="2">
      <t>ニッシャ</t>
    </rPh>
    <rPh sb="2" eb="3">
      <t>ネツ</t>
    </rPh>
    <rPh sb="4" eb="6">
      <t>シュトク</t>
    </rPh>
    <rPh sb="6" eb="7">
      <t>リツ</t>
    </rPh>
    <phoneticPr fontId="2"/>
  </si>
  <si>
    <t>更新履歴</t>
    <rPh sb="0" eb="4">
      <t>コウシンリレキ</t>
    </rPh>
    <phoneticPr fontId="2"/>
  </si>
  <si>
    <t>更新内容</t>
    <rPh sb="0" eb="2">
      <t>コウシン</t>
    </rPh>
    <rPh sb="2" eb="4">
      <t>ナイヨウ</t>
    </rPh>
    <phoneticPr fontId="2"/>
  </si>
  <si>
    <t>北東面</t>
    <rPh sb="2" eb="3">
      <t>メン</t>
    </rPh>
    <phoneticPr fontId="2"/>
  </si>
  <si>
    <t>東面</t>
    <rPh sb="1" eb="2">
      <t>メン</t>
    </rPh>
    <phoneticPr fontId="2"/>
  </si>
  <si>
    <t>南東面</t>
    <rPh sb="2" eb="3">
      <t>メン</t>
    </rPh>
    <phoneticPr fontId="2"/>
  </si>
  <si>
    <t>南面</t>
    <rPh sb="1" eb="2">
      <t>メン</t>
    </rPh>
    <phoneticPr fontId="2"/>
  </si>
  <si>
    <t>南西面</t>
    <rPh sb="2" eb="3">
      <t>メン</t>
    </rPh>
    <phoneticPr fontId="2"/>
  </si>
  <si>
    <t>西面</t>
    <rPh sb="1" eb="2">
      <t>メン</t>
    </rPh>
    <phoneticPr fontId="2"/>
  </si>
  <si>
    <t>北西面</t>
    <rPh sb="2" eb="3">
      <t>メン</t>
    </rPh>
    <phoneticPr fontId="2"/>
  </si>
  <si>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</si>
  <si>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</si>
  <si>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</si>
  <si>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</si>
  <si>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</si>
  <si>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</si>
  <si>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</si>
  <si>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6" eb="7">
      <t>キタ</t>
    </rPh>
    <rPh sb="7" eb="8">
      <t>メン</t>
    </rPh>
    <rPh sb="10" eb="12">
      <t>ケイサン</t>
    </rPh>
    <rPh sb="12" eb="14">
      <t>ケッカ</t>
    </rPh>
    <phoneticPr fontId="2"/>
  </si>
  <si>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</si>
  <si>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2"/>
  </si>
  <si>
    <r>
      <t xml:space="preserve">窓 </t>
    </r>
    <r>
      <rPr>
        <b/>
        <sz val="11"/>
        <rFont val="HG丸ｺﾞｼｯｸM-PRO"/>
        <family val="3"/>
        <charset val="128"/>
      </rPr>
      <t>＜北東面＞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</si>
  <si>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</si>
  <si>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</si>
  <si>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</si>
  <si>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</si>
  <si>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</si>
  <si>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</si>
  <si>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＜南面＞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</si>
  <si>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</si>
  <si>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</si>
  <si>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</si>
  <si>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</si>
  <si>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</si>
  <si>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＜西面＞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</si>
  <si>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</si>
  <si>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</si>
  <si>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</si>
  <si>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</si>
  <si>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</si>
  <si>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2"/>
  </si>
  <si>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2"/>
  </si>
  <si>
    <t>温度差係数</t>
    <rPh sb="0" eb="3">
      <t>オンドサ</t>
    </rPh>
    <rPh sb="3" eb="5">
      <t>ケイスウ</t>
    </rPh>
    <phoneticPr fontId="2"/>
  </si>
  <si>
    <t>方位係数</t>
    <rPh sb="0" eb="2">
      <t>ホウイ</t>
    </rPh>
    <rPh sb="2" eb="4">
      <t>ケイスウ</t>
    </rPh>
    <phoneticPr fontId="2"/>
  </si>
  <si>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2"/>
  </si>
  <si>
    <r>
      <t xml:space="preserve">ドア </t>
    </r>
    <r>
      <rPr>
        <b/>
        <sz val="11"/>
        <rFont val="HG丸ｺﾞｼｯｸM-PRO"/>
        <family val="3"/>
        <charset val="128"/>
      </rPr>
      <t>＜北東面＞</t>
    </r>
    <r>
      <rPr>
        <sz val="11"/>
        <rFont val="HG丸ｺﾞｼｯｸM-PRO"/>
        <family val="3"/>
        <charset val="128"/>
      </rPr>
      <t xml:space="preserve"> 各値合計</t>
    </r>
    <phoneticPr fontId="2"/>
  </si>
  <si>
    <r>
      <t xml:space="preserve">ドア </t>
    </r>
    <r>
      <rPr>
        <b/>
        <sz val="11"/>
        <rFont val="HG丸ｺﾞｼｯｸM-PRO"/>
        <family val="3"/>
        <charset val="128"/>
      </rPr>
      <t>＜東面＞</t>
    </r>
    <r>
      <rPr>
        <sz val="11"/>
        <rFont val="HG丸ｺﾞｼｯｸM-PRO"/>
        <family val="3"/>
        <charset val="128"/>
      </rPr>
      <t xml:space="preserve"> 各値合計</t>
    </r>
    <phoneticPr fontId="2"/>
  </si>
  <si>
    <r>
      <t xml:space="preserve">ドア </t>
    </r>
    <r>
      <rPr>
        <b/>
        <sz val="11"/>
        <rFont val="HG丸ｺﾞｼｯｸM-PRO"/>
        <family val="3"/>
        <charset val="128"/>
      </rPr>
      <t>＜南東面＞</t>
    </r>
    <r>
      <rPr>
        <sz val="11"/>
        <rFont val="HG丸ｺﾞｼｯｸM-PRO"/>
        <family val="3"/>
        <charset val="128"/>
      </rPr>
      <t xml:space="preserve"> 各値合計</t>
    </r>
    <phoneticPr fontId="2"/>
  </si>
  <si>
    <r>
      <t xml:space="preserve">ドア </t>
    </r>
    <r>
      <rPr>
        <b/>
        <sz val="11"/>
        <rFont val="HG丸ｺﾞｼｯｸM-PRO"/>
        <family val="3"/>
        <charset val="128"/>
      </rPr>
      <t>＜南面＞</t>
    </r>
    <r>
      <rPr>
        <sz val="11"/>
        <rFont val="HG丸ｺﾞｼｯｸM-PRO"/>
        <family val="3"/>
        <charset val="128"/>
      </rPr>
      <t xml:space="preserve"> 各値合計</t>
    </r>
    <phoneticPr fontId="2"/>
  </si>
  <si>
    <r>
      <t xml:space="preserve">ドア </t>
    </r>
    <r>
      <rPr>
        <b/>
        <sz val="11"/>
        <rFont val="HG丸ｺﾞｼｯｸM-PRO"/>
        <family val="3"/>
        <charset val="128"/>
      </rPr>
      <t>＜南西面＞</t>
    </r>
    <r>
      <rPr>
        <sz val="11"/>
        <rFont val="HG丸ｺﾞｼｯｸM-PRO"/>
        <family val="3"/>
        <charset val="128"/>
      </rPr>
      <t xml:space="preserve"> 各値合計</t>
    </r>
    <phoneticPr fontId="2"/>
  </si>
  <si>
    <r>
      <t xml:space="preserve">ドア </t>
    </r>
    <r>
      <rPr>
        <b/>
        <sz val="11"/>
        <rFont val="HG丸ｺﾞｼｯｸM-PRO"/>
        <family val="3"/>
        <charset val="128"/>
      </rPr>
      <t>＜西面＞</t>
    </r>
    <r>
      <rPr>
        <sz val="11"/>
        <rFont val="HG丸ｺﾞｼｯｸM-PRO"/>
        <family val="3"/>
        <charset val="128"/>
      </rPr>
      <t xml:space="preserve"> 各値合計</t>
    </r>
    <phoneticPr fontId="2"/>
  </si>
  <si>
    <r>
      <t xml:space="preserve">ドア </t>
    </r>
    <r>
      <rPr>
        <b/>
        <sz val="11"/>
        <rFont val="HG丸ｺﾞｼｯｸM-PRO"/>
        <family val="3"/>
        <charset val="128"/>
      </rPr>
      <t>＜北西面＞</t>
    </r>
    <r>
      <rPr>
        <sz val="11"/>
        <rFont val="HG丸ｺﾞｼｯｸM-PRO"/>
        <family val="3"/>
        <charset val="128"/>
      </rPr>
      <t xml:space="preserve"> 各値合計</t>
    </r>
    <phoneticPr fontId="2"/>
  </si>
  <si>
    <t>日射の当たらない
基礎等</t>
    <rPh sb="0" eb="2">
      <t>ニッシャ</t>
    </rPh>
    <rPh sb="3" eb="4">
      <t>ア</t>
    </rPh>
    <rPh sb="9" eb="11">
      <t>キソ</t>
    </rPh>
    <rPh sb="11" eb="12">
      <t>トウ</t>
    </rPh>
    <phoneticPr fontId="2"/>
  </si>
  <si>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</si>
  <si>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</si>
  <si>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</si>
  <si>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</si>
  <si>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</si>
  <si>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</si>
  <si>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等級４</t>
    <phoneticPr fontId="2"/>
  </si>
  <si>
    <t>等級３</t>
    <phoneticPr fontId="2"/>
  </si>
  <si>
    <t>等級２</t>
    <phoneticPr fontId="2"/>
  </si>
  <si>
    <t>1）土間床等の面積の入力</t>
    <rPh sb="2" eb="4">
      <t>ドマ</t>
    </rPh>
    <rPh sb="4" eb="5">
      <t>ユカ</t>
    </rPh>
    <rPh sb="5" eb="6">
      <t>トウ</t>
    </rPh>
    <rPh sb="7" eb="9">
      <t>メンセキ</t>
    </rPh>
    <rPh sb="10" eb="12">
      <t>ニュウリョク</t>
    </rPh>
    <phoneticPr fontId="2"/>
  </si>
  <si>
    <t>※3）において温度差係数を分けて計算する場合、</t>
    <rPh sb="13" eb="14">
      <t>ワ</t>
    </rPh>
    <rPh sb="16" eb="18">
      <t>ケイサン</t>
    </rPh>
    <phoneticPr fontId="2"/>
  </si>
  <si>
    <t>2）基礎等の断面仕様の入力</t>
    <rPh sb="2" eb="5">
      <t>キソトウ</t>
    </rPh>
    <rPh sb="6" eb="8">
      <t>ダンメン</t>
    </rPh>
    <rPh sb="8" eb="10">
      <t>シヨウ</t>
    </rPh>
    <rPh sb="11" eb="13">
      <t>ニュウリョク</t>
    </rPh>
    <phoneticPr fontId="2"/>
  </si>
  <si>
    <t>3）基礎等の外周長さの入力</t>
    <rPh sb="2" eb="5">
      <t>キソトウ</t>
    </rPh>
    <rPh sb="6" eb="8">
      <t>ガイシュウ</t>
    </rPh>
    <rPh sb="8" eb="9">
      <t>ナガ</t>
    </rPh>
    <rPh sb="11" eb="13">
      <t>ニュウリョク</t>
    </rPh>
    <phoneticPr fontId="2"/>
  </si>
  <si>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2"/>
  </si>
  <si>
    <t>㎡（</t>
    <phoneticPr fontId="2"/>
  </si>
  <si>
    <t>㎡、</t>
    <phoneticPr fontId="2"/>
  </si>
  <si>
    <t>屋根等</t>
    <phoneticPr fontId="2"/>
  </si>
  <si>
    <t>㎡）</t>
    <phoneticPr fontId="2"/>
  </si>
  <si>
    <t>W/K</t>
    <phoneticPr fontId="2"/>
  </si>
  <si>
    <t>除外窓
等面積</t>
    <rPh sb="0" eb="2">
      <t>ジョガイ</t>
    </rPh>
    <rPh sb="2" eb="3">
      <t>マド</t>
    </rPh>
    <rPh sb="4" eb="5">
      <t>トウ</t>
    </rPh>
    <rPh sb="5" eb="7">
      <t>メンセキ</t>
    </rPh>
    <phoneticPr fontId="2"/>
  </si>
  <si>
    <t>mc</t>
    <phoneticPr fontId="2"/>
  </si>
  <si>
    <t>mh</t>
    <phoneticPr fontId="2"/>
  </si>
  <si>
    <t>端数処理無し</t>
    <rPh sb="0" eb="2">
      <t>ハスウ</t>
    </rPh>
    <rPh sb="2" eb="4">
      <t>ショリ</t>
    </rPh>
    <rPh sb="4" eb="5">
      <t>ナ</t>
    </rPh>
    <phoneticPr fontId="2"/>
  </si>
  <si>
    <t>　外皮等面積の合計</t>
    <phoneticPr fontId="2"/>
  </si>
  <si>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2"/>
  </si>
  <si>
    <t>W/（㎡K）</t>
    <phoneticPr fontId="2"/>
  </si>
  <si>
    <r>
      <t>　冷房期の平均日射熱取得率(η</t>
    </r>
    <r>
      <rPr>
        <vertAlign val="subscript"/>
        <sz val="10"/>
        <rFont val="ＭＳ Ｐゴシック"/>
        <family val="3"/>
        <charset val="128"/>
      </rPr>
      <t>AC</t>
    </r>
    <r>
      <rPr>
        <sz val="10"/>
        <rFont val="ＭＳ Ｐゴシック"/>
        <family val="3"/>
        <charset val="128"/>
      </rPr>
      <t>)</t>
    </r>
    <phoneticPr fontId="2"/>
  </si>
  <si>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2"/>
  </si>
  <si>
    <t>　冷房期の平均日射熱取得率</t>
    <rPh sb="3" eb="4">
      <t>キ</t>
    </rPh>
    <phoneticPr fontId="2"/>
  </si>
  <si>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2"/>
  </si>
  <si>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2"/>
  </si>
  <si>
    <t>外皮熱損失量</t>
    <rPh sb="0" eb="2">
      <t>ガイヒ</t>
    </rPh>
    <rPh sb="2" eb="3">
      <t>ネツ</t>
    </rPh>
    <rPh sb="3" eb="5">
      <t>ソンシツ</t>
    </rPh>
    <rPh sb="5" eb="6">
      <t>リョウ</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</si>
  <si>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</si>
  <si>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</si>
  <si>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</si>
  <si>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</si>
  <si>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</si>
  <si>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</si>
  <si>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</si>
  <si>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</si>
  <si>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　外皮平均熱貫流率</t>
    <phoneticPr fontId="2"/>
  </si>
  <si>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2"/>
  </si>
  <si>
    <t>日射熱
取得率
※1</t>
    <rPh sb="0" eb="2">
      <t>ニッシャ</t>
    </rPh>
    <rPh sb="2" eb="3">
      <t>ネツ</t>
    </rPh>
    <rPh sb="4" eb="6">
      <t>シュトク</t>
    </rPh>
    <phoneticPr fontId="2"/>
  </si>
  <si>
    <t>（１３）</t>
    <phoneticPr fontId="2"/>
  </si>
  <si>
    <t>共通条件・結果シート：２）外皮等面積の合計の関数式訂正（切り下げ→四捨五入に修正）</t>
    <phoneticPr fontId="2"/>
  </si>
  <si>
    <t>シートA（全8方位）：２）および３）合計欄のバグ修正（数値が表示されない）</t>
    <rPh sb="5" eb="6">
      <t>ゼン</t>
    </rPh>
    <rPh sb="7" eb="9">
      <t>ホウイ</t>
    </rPh>
    <rPh sb="18" eb="20">
      <t>ゴウケイ</t>
    </rPh>
    <rPh sb="20" eb="21">
      <t>ラン</t>
    </rPh>
    <rPh sb="24" eb="26">
      <t>シュウセイ</t>
    </rPh>
    <rPh sb="27" eb="29">
      <t>スウチ</t>
    </rPh>
    <rPh sb="30" eb="32">
      <t>ヒョウジ</t>
    </rPh>
    <phoneticPr fontId="2"/>
  </si>
  <si>
    <t xml:space="preserve">
はじめに（お読みください）
</t>
    <rPh sb="7" eb="8">
      <t>ヨ</t>
    </rPh>
    <phoneticPr fontId="2"/>
  </si>
  <si>
    <t xml:space="preserve">
１)
</t>
    <phoneticPr fontId="2"/>
  </si>
  <si>
    <t xml:space="preserve">　
　本エクセル計算シートの著作権は、一般社団法人住宅性能評価・表示協会に帰属します。
</t>
    <phoneticPr fontId="2"/>
  </si>
  <si>
    <t xml:space="preserve">
２)</t>
    <phoneticPr fontId="2"/>
  </si>
  <si>
    <t xml:space="preserve">
３)</t>
    <phoneticPr fontId="2"/>
  </si>
  <si>
    <t xml:space="preserve">
　本エクセル計算シートは、当協会の会員及び設計者へのサービスの一環として、無料で公開するものです。利用者は、利用者自身の自己責任において、本エクセル計算シートを利用してください。
　当協会は、事由のいかんを問わず、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t>
    <phoneticPr fontId="2"/>
  </si>
  <si>
    <t>シート「はじめに（お読みください）」を追加</t>
    <rPh sb="19" eb="21">
      <t>ツイカ</t>
    </rPh>
    <phoneticPr fontId="2"/>
  </si>
  <si>
    <t>パスワードを設定</t>
    <rPh sb="6" eb="8">
      <t>セッテイ</t>
    </rPh>
    <phoneticPr fontId="2"/>
  </si>
  <si>
    <t xml:space="preserve">
４）</t>
    <phoneticPr fontId="2"/>
  </si>
  <si>
    <t>シート「はじめに（お読みください）」に４）を追加</t>
    <rPh sb="22" eb="24">
      <t>ツイカ</t>
    </rPh>
    <phoneticPr fontId="2"/>
  </si>
  <si>
    <t>（１１）</t>
    <phoneticPr fontId="2"/>
  </si>
  <si>
    <t>（１３）１</t>
    <phoneticPr fontId="2"/>
  </si>
  <si>
    <t>（１３）２</t>
    <phoneticPr fontId="2"/>
  </si>
  <si>
    <t>シート「Ｃ（基礎）」基礎の線熱貫流率計算式番号の修正</t>
    <rPh sb="6" eb="8">
      <t>キソ</t>
    </rPh>
    <rPh sb="10" eb="12">
      <t>キソ</t>
    </rPh>
    <rPh sb="13" eb="14">
      <t>セン</t>
    </rPh>
    <rPh sb="14" eb="15">
      <t>ネツ</t>
    </rPh>
    <rPh sb="15" eb="17">
      <t>カンリュウ</t>
    </rPh>
    <rPh sb="17" eb="18">
      <t>リツ</t>
    </rPh>
    <rPh sb="18" eb="20">
      <t>ケイサン</t>
    </rPh>
    <rPh sb="20" eb="21">
      <t>シキ</t>
    </rPh>
    <rPh sb="21" eb="23">
      <t>バンゴウ</t>
    </rPh>
    <rPh sb="24" eb="26">
      <t>シュウセイ</t>
    </rPh>
    <phoneticPr fontId="2"/>
  </si>
  <si>
    <t>ver1.5</t>
    <phoneticPr fontId="2"/>
  </si>
  <si>
    <t>ver1.4</t>
    <phoneticPr fontId="2"/>
  </si>
  <si>
    <t>ver1.3</t>
    <phoneticPr fontId="2"/>
  </si>
  <si>
    <t>ver1.2</t>
    <phoneticPr fontId="2"/>
  </si>
  <si>
    <t>シート「内訳計算シートA」：1）、2）、3）の行を追加</t>
    <rPh sb="4" eb="6">
      <t>ウチワケ</t>
    </rPh>
    <rPh sb="6" eb="8">
      <t>ケイサン</t>
    </rPh>
    <rPh sb="23" eb="24">
      <t>ギョウ</t>
    </rPh>
    <rPh sb="25" eb="27">
      <t>ツイカ</t>
    </rPh>
    <phoneticPr fontId="2"/>
  </si>
  <si>
    <t>シート「内訳計算シートA」：8地域の場合の暖房期日射熱取得率の表示を修正</t>
    <rPh sb="4" eb="6">
      <t>ウチワケ</t>
    </rPh>
    <rPh sb="6" eb="8">
      <t>ケイサン</t>
    </rPh>
    <rPh sb="15" eb="17">
      <t>チイキ</t>
    </rPh>
    <rPh sb="18" eb="20">
      <t>バアイ</t>
    </rPh>
    <rPh sb="21" eb="24">
      <t>ダンボウキ</t>
    </rPh>
    <rPh sb="24" eb="26">
      <t>ニッシャ</t>
    </rPh>
    <rPh sb="26" eb="27">
      <t>ネツ</t>
    </rPh>
    <rPh sb="27" eb="30">
      <t>シュトクリツ</t>
    </rPh>
    <rPh sb="31" eb="33">
      <t>ヒョウジ</t>
    </rPh>
    <rPh sb="34" eb="36">
      <t>シュウセイ</t>
    </rPh>
    <phoneticPr fontId="2"/>
  </si>
  <si>
    <t>シート「共通条件・結果」：「住宅の名称」、「住宅の所在地」の書式を変更</t>
    <rPh sb="4" eb="6">
      <t>キョウツウ</t>
    </rPh>
    <rPh sb="6" eb="8">
      <t>ジョウケン</t>
    </rPh>
    <rPh sb="9" eb="11">
      <t>ケッカ</t>
    </rPh>
    <rPh sb="14" eb="16">
      <t>ジュウタク</t>
    </rPh>
    <rPh sb="17" eb="19">
      <t>メイショウ</t>
    </rPh>
    <rPh sb="22" eb="24">
      <t>ジュウタク</t>
    </rPh>
    <rPh sb="25" eb="28">
      <t>ショザイチ</t>
    </rPh>
    <rPh sb="30" eb="32">
      <t>ショシキ</t>
    </rPh>
    <rPh sb="33" eb="35">
      <t>ヘンコウ</t>
    </rPh>
    <phoneticPr fontId="2"/>
  </si>
  <si>
    <t>シート「参考（部位U計算）」：記載欄の書式変更</t>
    <rPh sb="4" eb="6">
      <t>サンコウ</t>
    </rPh>
    <rPh sb="7" eb="9">
      <t>ブイ</t>
    </rPh>
    <rPh sb="10" eb="12">
      <t>ケイサン</t>
    </rPh>
    <rPh sb="15" eb="17">
      <t>キサイ</t>
    </rPh>
    <rPh sb="17" eb="18">
      <t>ラン</t>
    </rPh>
    <rPh sb="19" eb="21">
      <t>ショシキ</t>
    </rPh>
    <rPh sb="21" eb="23">
      <t>ヘンコウ</t>
    </rPh>
    <phoneticPr fontId="2"/>
  </si>
  <si>
    <t>シート「参考（部位U計算）」：行を追加</t>
    <rPh sb="4" eb="6">
      <t>サンコウ</t>
    </rPh>
    <rPh sb="7" eb="9">
      <t>ブイ</t>
    </rPh>
    <rPh sb="10" eb="12">
      <t>ケイサン</t>
    </rPh>
    <rPh sb="15" eb="16">
      <t>ギョウ</t>
    </rPh>
    <rPh sb="17" eb="19">
      <t>ツイカ</t>
    </rPh>
    <phoneticPr fontId="2"/>
  </si>
  <si>
    <t>シート「参考（部位U計算）」：ページを追加</t>
    <rPh sb="4" eb="6">
      <t>サンコウ</t>
    </rPh>
    <rPh sb="7" eb="9">
      <t>ブイ</t>
    </rPh>
    <rPh sb="10" eb="12">
      <t>ケイサン</t>
    </rPh>
    <rPh sb="19" eb="21">
      <t>ツイカ</t>
    </rPh>
    <phoneticPr fontId="2"/>
  </si>
  <si>
    <t>シート「参考（部位U計算）」：パスワードを解除</t>
    <rPh sb="4" eb="6">
      <t>サンコウ</t>
    </rPh>
    <rPh sb="7" eb="9">
      <t>ブイ</t>
    </rPh>
    <rPh sb="10" eb="12">
      <t>ケイサン</t>
    </rPh>
    <rPh sb="21" eb="23">
      <t>カイジョ</t>
    </rPh>
    <phoneticPr fontId="2"/>
  </si>
  <si>
    <t>シート「参考（部位U計算）」：本Excelから削除とし、部位U計算シート単独の公開とした。</t>
    <rPh sb="4" eb="6">
      <t>サンコウ</t>
    </rPh>
    <rPh sb="7" eb="9">
      <t>ブイ</t>
    </rPh>
    <rPh sb="10" eb="12">
      <t>ケイサン</t>
    </rPh>
    <rPh sb="15" eb="16">
      <t>ホン</t>
    </rPh>
    <rPh sb="23" eb="25">
      <t>サクジョ</t>
    </rPh>
    <rPh sb="28" eb="30">
      <t>ブイ</t>
    </rPh>
    <rPh sb="31" eb="33">
      <t>ケイサン</t>
    </rPh>
    <rPh sb="36" eb="38">
      <t>タンドク</t>
    </rPh>
    <rPh sb="39" eb="41">
      <t>コウカイ</t>
    </rPh>
    <phoneticPr fontId="2"/>
  </si>
  <si>
    <t>Ver.1.6</t>
    <phoneticPr fontId="2"/>
  </si>
  <si>
    <t>　注１：本計算シートの計算方法は、（国研）建築研究所が示す外皮性能の計算方法を遵守しています。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</si>
  <si>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2"/>
  </si>
  <si>
    <t>　注３：各シートの</t>
    <rPh sb="1" eb="2">
      <t>チュウ</t>
    </rPh>
    <rPh sb="4" eb="5">
      <t>カク</t>
    </rPh>
    <phoneticPr fontId="2"/>
  </si>
  <si>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</si>
  <si>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2"/>
  </si>
  <si>
    <t xml:space="preserve">
　本エクセル計算シートの計算方法は、国立研究開発法人建築研究所のホームページで公開されている「建築物のエネルギー消費性能に関する技術情報」の「平成28年省エネルギー基準に準拠したエネルギー消費性能の評価に関する技術情報（住宅）」(http://www.kenken.go.jp/becc/house.html)に示される第三章第二節「外皮性能」（以下、「建築研究所公開資料」という。）に基づき、当協会が作成したものです。
　万一、技術情報と本エクセル計算シートの内容に齟齬がある場合は、建築研究所公開資料で定める内容が優先されます。
</t>
    <phoneticPr fontId="2"/>
  </si>
  <si>
    <t xml:space="preserve">　
本エクセル計算シートは、バージョンによっては開く又は保存すると、一部の機能が失われるか、正常に実行されなくなる可能性があります。
</t>
    <rPh sb="2" eb="3">
      <t>ホン</t>
    </rPh>
    <rPh sb="7" eb="9">
      <t>ケイサン</t>
    </rPh>
    <rPh sb="24" eb="25">
      <t>ヒラ</t>
    </rPh>
    <rPh sb="26" eb="27">
      <t>マタ</t>
    </rPh>
    <rPh sb="28" eb="30">
      <t>ホゾン</t>
    </rPh>
    <rPh sb="34" eb="36">
      <t>イチブ</t>
    </rPh>
    <rPh sb="37" eb="39">
      <t>キノウ</t>
    </rPh>
    <rPh sb="40" eb="41">
      <t>ウシナ</t>
    </rPh>
    <rPh sb="46" eb="48">
      <t>セイジョウ</t>
    </rPh>
    <rPh sb="49" eb="51">
      <t>ジッコウ</t>
    </rPh>
    <rPh sb="57" eb="60">
      <t>カノウセイ</t>
    </rPh>
    <phoneticPr fontId="2"/>
  </si>
  <si>
    <t>５）</t>
    <phoneticPr fontId="2"/>
  </si>
  <si>
    <t>部位U値計算シートは本ファイルに添付されていません。別途ご用意ください。</t>
    <phoneticPr fontId="2"/>
  </si>
  <si>
    <t>本バージョン Ver.1.8</t>
    <rPh sb="0" eb="1">
      <t>ホン</t>
    </rPh>
    <phoneticPr fontId="2"/>
  </si>
  <si>
    <t>Ver.1.7</t>
    <phoneticPr fontId="2"/>
  </si>
  <si>
    <t>シート「共通条件・結果」：8地域の冷房期の平均日射熱取得率基準値の変更</t>
    <phoneticPr fontId="2"/>
  </si>
  <si>
    <t>　2020/4/1</t>
    <phoneticPr fontId="2"/>
  </si>
  <si>
    <t>BIS住宅モデル 北方型住宅2020 仕様例その1</t>
    <rPh sb="3" eb="5">
      <t>ジュウタク</t>
    </rPh>
    <rPh sb="9" eb="12">
      <t>ホッポウガタ</t>
    </rPh>
    <rPh sb="12" eb="14">
      <t>ジュウタク</t>
    </rPh>
    <rPh sb="19" eb="21">
      <t>シヨウ</t>
    </rPh>
    <rPh sb="21" eb="22">
      <t>レイ</t>
    </rPh>
    <phoneticPr fontId="2"/>
  </si>
  <si>
    <t>札幌市</t>
    <rPh sb="0" eb="3">
      <t>サッポロシ</t>
    </rPh>
    <phoneticPr fontId="2"/>
  </si>
  <si>
    <t>２地域</t>
  </si>
  <si>
    <t>WN1-1</t>
    <phoneticPr fontId="2"/>
  </si>
  <si>
    <t>WN1-2</t>
    <phoneticPr fontId="2"/>
  </si>
  <si>
    <t>WN2-1</t>
    <phoneticPr fontId="2"/>
  </si>
  <si>
    <t>WN2-2</t>
    <phoneticPr fontId="2"/>
  </si>
  <si>
    <t>WN2-3</t>
    <phoneticPr fontId="2"/>
  </si>
  <si>
    <t>WN2-4</t>
    <phoneticPr fontId="2"/>
  </si>
  <si>
    <t>DN1-1</t>
    <phoneticPr fontId="2"/>
  </si>
  <si>
    <t>WS1-1</t>
    <phoneticPr fontId="2"/>
  </si>
  <si>
    <t>WS1-2</t>
    <phoneticPr fontId="2"/>
  </si>
  <si>
    <t>WS1-3</t>
    <phoneticPr fontId="2"/>
  </si>
  <si>
    <t>WS2-1</t>
    <phoneticPr fontId="2"/>
  </si>
  <si>
    <t>WS2-2</t>
    <phoneticPr fontId="2"/>
  </si>
  <si>
    <t>WS2-3</t>
    <phoneticPr fontId="2"/>
  </si>
  <si>
    <t>WS2-4</t>
    <phoneticPr fontId="2"/>
  </si>
  <si>
    <t>WS2-5</t>
    <phoneticPr fontId="2"/>
  </si>
  <si>
    <t>WW1-1</t>
    <phoneticPr fontId="2"/>
  </si>
  <si>
    <t>EW1</t>
    <phoneticPr fontId="2"/>
  </si>
  <si>
    <t>EW1</t>
    <phoneticPr fontId="2"/>
  </si>
  <si>
    <t>C1</t>
    <phoneticPr fontId="2"/>
  </si>
  <si>
    <t>天井</t>
  </si>
  <si>
    <t>F1</t>
    <phoneticPr fontId="2"/>
  </si>
  <si>
    <t>基礎断熱</t>
  </si>
  <si>
    <t>EW2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</si>
</sst>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_ "/>
    <numFmt numFmtId="178" formatCode="0.00_ "/>
    <numFmt numFmtId="179" formatCode="0.0_ "/>
    <numFmt numFmtId="180" formatCode="0.00;_퐀"/>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10"/>
      <name val="ＭＳ Ｐゴシック"/>
      <family val="3"/>
      <charset val="128"/>
      <scheme val="minor"/>
    </font>
    <font>
      <sz val="11"/>
      <name val="ＭＳ Ｐゴシック"/>
      <family val="3"/>
      <charset val="128"/>
      <scheme val="minor"/>
    </font>
    <font>
      <sz val="11"/>
      <name val="ＭＳ ゴシック"/>
      <family val="3"/>
      <charset val="128"/>
    </font>
    <font>
      <sz val="10.5"/>
      <name val="ＭＳ ゴシック"/>
      <family val="3"/>
      <charset val="128"/>
    </font>
    <font>
      <sz val="11"/>
      <color theme="1"/>
      <name val="ＭＳ ゴシック"/>
      <family val="3"/>
      <charset val="128"/>
    </font>
    <font>
      <sz val="10.5"/>
      <color theme="1"/>
      <name val="ＭＳ ゴシック"/>
      <family val="3"/>
      <charset val="128"/>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s>
  <borders count="117">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505">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8"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 fontId="6" fillId="0" borderId="0" xfId="1" applyNumberFormat="1" applyFont="1" applyBorder="1" applyAlignment="1">
      <alignment horizontal="right" vertical="center"/>
    </xf>
    <xf numFmtId="0" fontId="9" fillId="0" borderId="0" xfId="0" applyFont="1" applyBorder="1" applyAlignment="1">
      <alignment horizontal="left" vertical="center"/>
    </xf>
    <xf numFmtId="2" fontId="0" fillId="0" borderId="0" xfId="1" applyNumberFormat="1" applyFont="1" applyBorder="1"/>
    <xf numFmtId="0" fontId="3" fillId="2" borderId="13" xfId="0" applyFont="1" applyFill="1" applyBorder="1" applyAlignment="1">
      <alignment vertical="center"/>
    </xf>
    <xf numFmtId="0" fontId="3" fillId="2" borderId="14" xfId="0" applyFont="1" applyFill="1" applyBorder="1" applyAlignment="1">
      <alignment vertical="center"/>
    </xf>
    <xf numFmtId="2" fontId="8" fillId="0" borderId="0" xfId="0" applyNumberFormat="1" applyFont="1" applyAlignment="1">
      <alignment horizontal="center" vertical="center"/>
    </xf>
    <xf numFmtId="0" fontId="0" fillId="0" borderId="0" xfId="0" applyBorder="1"/>
    <xf numFmtId="0" fontId="3" fillId="0" borderId="0" xfId="0" applyFont="1" applyAlignment="1">
      <alignment horizont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lignment vertical="center" shrinkToFit="1"/>
    </xf>
    <xf numFmtId="0" fontId="3" fillId="0" borderId="29" xfId="0" applyFont="1" applyBorder="1" applyAlignment="1">
      <alignment vertical="center" shrinkToFit="1"/>
    </xf>
    <xf numFmtId="0" fontId="3" fillId="0" borderId="29" xfId="0" applyFont="1" applyBorder="1" applyAlignment="1">
      <alignment vertical="center" wrapText="1"/>
    </xf>
    <xf numFmtId="0" fontId="3" fillId="0" borderId="0" xfId="0" applyFont="1" applyBorder="1" applyAlignment="1">
      <alignment vertical="center" wrapText="1"/>
    </xf>
    <xf numFmtId="179" fontId="3" fillId="0" borderId="0" xfId="0" applyNumberFormat="1" applyFont="1" applyAlignment="1" applyProtection="1">
      <alignment vertical="center"/>
    </xf>
    <xf numFmtId="179" fontId="3" fillId="0" borderId="0" xfId="0" applyNumberFormat="1" applyFont="1" applyAlignment="1"/>
    <xf numFmtId="0" fontId="3" fillId="0" borderId="0" xfId="0" applyFont="1" applyFill="1" applyBorder="1" applyAlignment="1">
      <alignment horizontal="center" vertical="center"/>
    </xf>
    <xf numFmtId="2" fontId="6" fillId="0" borderId="0" xfId="0" applyNumberFormat="1" applyFont="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pplyProtection="1">
      <alignment vertical="center"/>
    </xf>
    <xf numFmtId="0" fontId="9" fillId="0" borderId="6" xfId="0" applyFont="1" applyFill="1" applyBorder="1" applyAlignment="1" applyProtection="1">
      <alignment horizontal="right" vertical="center"/>
    </xf>
    <xf numFmtId="0" fontId="9" fillId="0" borderId="5" xfId="0" applyFont="1" applyFill="1" applyBorder="1" applyAlignment="1" applyProtection="1">
      <alignment vertical="center"/>
    </xf>
    <xf numFmtId="0" fontId="9" fillId="0" borderId="1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0" xfId="0" applyFont="1" applyFill="1"/>
    <xf numFmtId="0" fontId="0" fillId="0" borderId="0" xfId="0" applyFill="1"/>
    <xf numFmtId="0" fontId="3" fillId="0" borderId="29" xfId="0" applyFont="1" applyFill="1" applyBorder="1" applyAlignment="1">
      <alignment vertical="center"/>
    </xf>
    <xf numFmtId="0" fontId="3" fillId="0" borderId="29" xfId="0" applyFont="1" applyFill="1" applyBorder="1" applyAlignment="1">
      <alignment horizontal="center" vertical="center"/>
    </xf>
    <xf numFmtId="0" fontId="8" fillId="0" borderId="29"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176" fontId="0" fillId="0" borderId="18" xfId="0" applyNumberFormat="1" applyBorder="1" applyAlignment="1">
      <alignment horizontal="center" vertical="center"/>
    </xf>
    <xf numFmtId="0" fontId="6" fillId="0" borderId="0" xfId="1" applyNumberFormat="1" applyFont="1" applyFill="1" applyBorder="1" applyAlignment="1">
      <alignment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3" borderId="51"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0" fontId="8" fillId="0" borderId="0" xfId="0"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178" fontId="3" fillId="0" borderId="5" xfId="0" applyNumberFormat="1" applyFont="1" applyBorder="1" applyAlignment="1">
      <alignment vertical="center"/>
    </xf>
    <xf numFmtId="178" fontId="9" fillId="0" borderId="5" xfId="0" applyNumberFormat="1" applyFont="1" applyBorder="1" applyAlignment="1">
      <alignment vertical="center"/>
    </xf>
    <xf numFmtId="178" fontId="9" fillId="0" borderId="15" xfId="0" applyNumberFormat="1" applyFont="1" applyBorder="1" applyAlignment="1">
      <alignment vertical="center"/>
    </xf>
    <xf numFmtId="178" fontId="3" fillId="0" borderId="4" xfId="0" applyNumberFormat="1" applyFont="1" applyBorder="1" applyAlignment="1">
      <alignment vertical="center"/>
    </xf>
    <xf numFmtId="178" fontId="3" fillId="0" borderId="19"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0" fontId="3" fillId="0" borderId="0" xfId="0" applyFont="1" applyAlignment="1" applyProtection="1">
      <alignment vertical="center"/>
      <protection locked="0"/>
    </xf>
    <xf numFmtId="0" fontId="3" fillId="0" borderId="18" xfId="0" applyFont="1" applyBorder="1" applyAlignment="1">
      <alignment vertical="center"/>
    </xf>
    <xf numFmtId="0" fontId="9" fillId="0" borderId="0" xfId="0" applyFont="1" applyFill="1" applyBorder="1" applyAlignment="1">
      <alignment vertical="center"/>
    </xf>
    <xf numFmtId="0" fontId="0" fillId="0" borderId="18" xfId="0" applyBorder="1" applyAlignment="1">
      <alignment horizontal="center" vertical="center"/>
    </xf>
    <xf numFmtId="0" fontId="3" fillId="0" borderId="18" xfId="0" applyFont="1" applyBorder="1" applyAlignment="1">
      <alignment horizontal="center" vertical="center"/>
    </xf>
    <xf numFmtId="0" fontId="9" fillId="0" borderId="6" xfId="0" applyFont="1" applyFill="1" applyBorder="1" applyAlignment="1">
      <alignment vertical="center"/>
    </xf>
    <xf numFmtId="0" fontId="1" fillId="2" borderId="6" xfId="1" applyNumberFormat="1" applyFont="1" applyFill="1" applyBorder="1" applyAlignment="1">
      <alignment horizontal="center" vertical="center"/>
    </xf>
    <xf numFmtId="0" fontId="1" fillId="2" borderId="17" xfId="1" applyNumberFormat="1" applyFont="1" applyFill="1" applyBorder="1" applyAlignment="1">
      <alignment horizontal="center" vertical="center"/>
    </xf>
    <xf numFmtId="14" fontId="0" fillId="0" borderId="0" xfId="0" applyNumberFormat="1"/>
    <xf numFmtId="0" fontId="20" fillId="0" borderId="0" xfId="0" applyFont="1" applyAlignment="1">
      <alignment wrapText="1"/>
    </xf>
    <xf numFmtId="0" fontId="21" fillId="0" borderId="0" xfId="0" applyFont="1" applyAlignment="1">
      <alignment horizontal="left" vertical="center" wrapText="1"/>
    </xf>
    <xf numFmtId="0" fontId="20" fillId="0" borderId="0" xfId="0" applyFont="1" applyAlignment="1">
      <alignment vertical="top" wrapText="1"/>
    </xf>
    <xf numFmtId="0" fontId="22" fillId="0" borderId="0" xfId="0" applyFont="1" applyFill="1" applyAlignment="1">
      <alignment vertical="top" wrapText="1"/>
    </xf>
    <xf numFmtId="0" fontId="23" fillId="0" borderId="0" xfId="0" applyFont="1" applyFill="1" applyAlignment="1">
      <alignment horizontal="left" vertical="center" wrapText="1"/>
    </xf>
    <xf numFmtId="0" fontId="24" fillId="0" borderId="0" xfId="0" quotePrefix="1" applyFont="1" applyFill="1" applyAlignment="1">
      <alignment horizontal="center"/>
    </xf>
    <xf numFmtId="0" fontId="24" fillId="0" borderId="0" xfId="0" applyFont="1" applyFill="1" applyAlignment="1">
      <alignment horizontal="center"/>
    </xf>
    <xf numFmtId="14" fontId="25" fillId="0" borderId="0" xfId="0" applyNumberFormat="1" applyFont="1" applyFill="1"/>
    <xf numFmtId="0" fontId="2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right" vertical="center"/>
    </xf>
    <xf numFmtId="176" fontId="26" fillId="0" borderId="18" xfId="0" applyNumberFormat="1" applyFont="1" applyBorder="1" applyAlignment="1">
      <alignment horizontal="center" vertical="center"/>
    </xf>
    <xf numFmtId="0" fontId="26" fillId="0" borderId="18" xfId="0" applyFont="1" applyBorder="1" applyAlignment="1">
      <alignment horizontal="center" vertical="center"/>
    </xf>
    <xf numFmtId="14" fontId="0" fillId="0" borderId="0" xfId="0" applyNumberFormat="1" applyAlignment="1">
      <alignment horizontal="left"/>
    </xf>
    <xf numFmtId="0" fontId="20" fillId="0" borderId="0" xfId="0" applyFont="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xf numFmtId="0" fontId="9" fillId="0" borderId="58" xfId="0" applyFont="1" applyBorder="1" applyAlignment="1">
      <alignment horizontal="center" vertical="center"/>
    </xf>
    <xf numFmtId="0" fontId="6" fillId="0" borderId="35" xfId="0" applyFont="1" applyBorder="1" applyAlignment="1">
      <alignment horizontal="right" vertical="center"/>
    </xf>
    <xf numFmtId="0" fontId="3" fillId="4" borderId="52" xfId="0" applyFont="1" applyFill="1" applyBorder="1" applyAlignment="1">
      <alignment horizontal="center" vertical="center"/>
    </xf>
    <xf numFmtId="0" fontId="3" fillId="4" borderId="31" xfId="0" applyFont="1" applyFill="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right"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179" fontId="6" fillId="0" borderId="53" xfId="0" applyNumberFormat="1" applyFont="1" applyBorder="1" applyAlignment="1">
      <alignment horizontal="right" vertical="center"/>
    </xf>
    <xf numFmtId="179" fontId="6" fillId="0" borderId="13" xfId="0" applyNumberFormat="1" applyFont="1" applyBorder="1" applyAlignment="1">
      <alignment horizontal="right" vertical="center"/>
    </xf>
    <xf numFmtId="0" fontId="3" fillId="0" borderId="51"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6" fillId="2" borderId="51" xfId="1" applyNumberFormat="1" applyFont="1" applyFill="1" applyBorder="1" applyAlignment="1">
      <alignment horizontal="right" vertical="center"/>
    </xf>
    <xf numFmtId="0" fontId="6" fillId="2" borderId="6" xfId="1" applyNumberFormat="1" applyFont="1" applyFill="1" applyBorder="1" applyAlignment="1">
      <alignment horizontal="right" vertical="center"/>
    </xf>
    <xf numFmtId="0" fontId="9" fillId="0" borderId="6" xfId="0" applyFont="1" applyBorder="1" applyAlignment="1">
      <alignment horizontal="left" vertical="center"/>
    </xf>
    <xf numFmtId="0" fontId="9" fillId="0" borderId="17" xfId="0" applyFont="1" applyBorder="1" applyAlignment="1">
      <alignment horizontal="lef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9" fillId="2" borderId="13" xfId="1" applyNumberFormat="1" applyFont="1" applyFill="1" applyBorder="1" applyAlignment="1">
      <alignment horizontal="center" vertical="center"/>
    </xf>
    <xf numFmtId="0" fontId="9" fillId="2" borderId="14" xfId="1" applyNumberFormat="1" applyFont="1" applyFill="1"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2" fontId="10" fillId="0" borderId="0" xfId="0" applyNumberFormat="1"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9" xfId="0" applyFont="1" applyBorder="1" applyAlignment="1">
      <alignment vertical="center"/>
    </xf>
    <xf numFmtId="0" fontId="8" fillId="3" borderId="4" xfId="0" applyFont="1" applyFill="1" applyBorder="1" applyAlignment="1" applyProtection="1">
      <alignment vertical="center" shrinkToFit="1"/>
      <protection locked="0"/>
    </xf>
    <xf numFmtId="0" fontId="8" fillId="3" borderId="31" xfId="0" applyFont="1" applyFill="1" applyBorder="1" applyAlignment="1" applyProtection="1">
      <alignment vertical="center" shrinkToFit="1"/>
      <protection locked="0"/>
    </xf>
    <xf numFmtId="0" fontId="3" fillId="2" borderId="5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8" fillId="3" borderId="5" xfId="0" applyFont="1" applyFill="1" applyBorder="1" applyAlignment="1" applyProtection="1">
      <alignment vertical="center" shrinkToFit="1"/>
      <protection locked="0"/>
    </xf>
    <xf numFmtId="0" fontId="8" fillId="3" borderId="15" xfId="0" applyFont="1" applyFill="1" applyBorder="1" applyAlignment="1" applyProtection="1">
      <alignment vertical="center" shrinkToFit="1"/>
      <protection locked="0"/>
    </xf>
    <xf numFmtId="0" fontId="3" fillId="2" borderId="13" xfId="0" applyFont="1" applyFill="1" applyBorder="1" applyAlignment="1">
      <alignment horizontal="right" vertical="center"/>
    </xf>
    <xf numFmtId="0" fontId="8" fillId="3" borderId="13" xfId="0" applyFont="1" applyFill="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35" xfId="0" applyFont="1" applyBorder="1" applyAlignment="1">
      <alignment horizontal="center" vertical="center"/>
    </xf>
    <xf numFmtId="0" fontId="3" fillId="0" borderId="15" xfId="0" applyFont="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8" fillId="3" borderId="4"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1" fillId="2" borderId="13" xfId="1" applyNumberFormat="1" applyFont="1" applyFill="1" applyBorder="1" applyAlignment="1">
      <alignment horizontal="center" vertical="center"/>
    </xf>
    <xf numFmtId="0" fontId="1" fillId="2" borderId="14" xfId="1" applyNumberFormat="1" applyFont="1" applyFill="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6" fillId="0" borderId="51" xfId="0" applyFont="1" applyBorder="1" applyAlignment="1">
      <alignment horizontal="right" vertical="center"/>
    </xf>
    <xf numFmtId="0" fontId="6" fillId="0" borderId="6" xfId="0" applyFont="1" applyBorder="1" applyAlignment="1">
      <alignment horizontal="right" vertical="center"/>
    </xf>
    <xf numFmtId="0" fontId="7" fillId="3" borderId="44" xfId="0" applyFont="1" applyFill="1" applyBorder="1" applyAlignment="1" applyProtection="1">
      <alignment horizontal="left" vertical="center" shrinkToFit="1"/>
      <protection locked="0"/>
    </xf>
    <xf numFmtId="0" fontId="7" fillId="3" borderId="47" xfId="0" applyFont="1" applyFill="1" applyBorder="1" applyAlignment="1" applyProtection="1">
      <alignment horizontal="left" vertical="center" shrinkToFit="1"/>
      <protection locked="0"/>
    </xf>
    <xf numFmtId="178" fontId="3" fillId="0" borderId="102" xfId="0" applyNumberFormat="1" applyFont="1" applyFill="1" applyBorder="1" applyAlignment="1" applyProtection="1">
      <alignment horizontal="center" vertical="center"/>
    </xf>
    <xf numFmtId="178" fontId="3" fillId="0" borderId="112" xfId="0" applyNumberFormat="1" applyFont="1" applyFill="1" applyBorder="1" applyAlignment="1" applyProtection="1">
      <alignment horizontal="center" vertical="center"/>
    </xf>
    <xf numFmtId="0" fontId="7" fillId="3" borderId="68" xfId="0" applyFont="1" applyFill="1" applyBorder="1" applyAlignment="1" applyProtection="1">
      <alignment horizontal="center" vertical="center" shrinkToFit="1"/>
    </xf>
    <xf numFmtId="0" fontId="7" fillId="3" borderId="49" xfId="0" applyFont="1" applyFill="1" applyBorder="1" applyAlignment="1" applyProtection="1">
      <alignment horizontal="center" vertical="center" shrinkToFit="1"/>
    </xf>
    <xf numFmtId="0" fontId="7" fillId="3" borderId="68" xfId="0" applyFont="1" applyFill="1" applyBorder="1" applyAlignment="1" applyProtection="1">
      <alignment horizontal="center" vertical="center" shrinkToFit="1"/>
      <protection locked="0"/>
    </xf>
    <xf numFmtId="0" fontId="7" fillId="3" borderId="49" xfId="0"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left" vertical="center" shrinkToFit="1"/>
      <protection locked="0"/>
    </xf>
    <xf numFmtId="0" fontId="7" fillId="3" borderId="49" xfId="0" applyFont="1" applyFill="1" applyBorder="1" applyAlignment="1" applyProtection="1">
      <alignment horizontal="left" vertical="center" shrinkToFit="1"/>
      <protection locked="0"/>
    </xf>
    <xf numFmtId="180" fontId="3" fillId="0" borderId="68" xfId="0" applyNumberFormat="1" applyFont="1" applyFill="1" applyBorder="1" applyAlignment="1" applyProtection="1">
      <alignment horizontal="center" vertical="center"/>
    </xf>
    <xf numFmtId="180" fontId="3" fillId="0" borderId="49" xfId="0" applyNumberFormat="1" applyFont="1" applyFill="1" applyBorder="1" applyAlignment="1" applyProtection="1">
      <alignment horizontal="center" vertical="center"/>
    </xf>
    <xf numFmtId="0" fontId="7" fillId="3" borderId="86" xfId="0" applyFont="1" applyFill="1" applyBorder="1" applyAlignment="1" applyProtection="1">
      <alignment horizontal="center" vertical="center" shrinkToFit="1"/>
      <protection locked="0"/>
    </xf>
    <xf numFmtId="178" fontId="3" fillId="0" borderId="68" xfId="0" applyNumberFormat="1" applyFont="1" applyFill="1" applyBorder="1" applyAlignment="1" applyProtection="1">
      <alignment horizontal="center" vertical="center"/>
    </xf>
    <xf numFmtId="178" fontId="3" fillId="0" borderId="109" xfId="0" applyNumberFormat="1" applyFont="1" applyFill="1" applyBorder="1" applyAlignment="1" applyProtection="1">
      <alignment horizontal="center" vertical="center"/>
    </xf>
    <xf numFmtId="0" fontId="7" fillId="3" borderId="45"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65"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7" fillId="3" borderId="78" xfId="0" applyFont="1" applyFill="1" applyBorder="1" applyAlignment="1" applyProtection="1">
      <alignment horizontal="center" vertical="center" shrinkToFit="1"/>
      <protection locked="0"/>
    </xf>
    <xf numFmtId="0" fontId="7" fillId="3" borderId="74" xfId="0" applyFont="1" applyFill="1" applyBorder="1" applyAlignment="1" applyProtection="1">
      <alignment horizontal="center" vertical="center" shrinkToFit="1"/>
      <protection locked="0"/>
    </xf>
    <xf numFmtId="0" fontId="3" fillId="0" borderId="6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 fillId="3" borderId="39" xfId="0" applyFont="1" applyFill="1" applyBorder="1" applyAlignment="1" applyProtection="1">
      <alignment horizontal="center" vertical="center" shrinkToFit="1"/>
    </xf>
    <xf numFmtId="178" fontId="3" fillId="0" borderId="39" xfId="0" applyNumberFormat="1" applyFont="1" applyFill="1" applyBorder="1" applyAlignment="1" applyProtection="1">
      <alignment horizontal="center" vertical="center"/>
    </xf>
    <xf numFmtId="178" fontId="3" fillId="0" borderId="66" xfId="0" applyNumberFormat="1" applyFont="1" applyFill="1" applyBorder="1" applyAlignment="1" applyProtection="1">
      <alignment horizontal="center" vertical="center"/>
    </xf>
    <xf numFmtId="178" fontId="3" fillId="0" borderId="67" xfId="0" applyNumberFormat="1" applyFont="1" applyFill="1" applyBorder="1" applyAlignment="1" applyProtection="1">
      <alignment horizontal="center" vertical="center"/>
    </xf>
    <xf numFmtId="180" fontId="3" fillId="0" borderId="45" xfId="0" applyNumberFormat="1" applyFont="1" applyFill="1" applyBorder="1" applyAlignment="1" applyProtection="1">
      <alignment horizontal="center" vertical="center"/>
    </xf>
    <xf numFmtId="180" fontId="3" fillId="0" borderId="47" xfId="0" applyNumberFormat="1" applyFont="1" applyFill="1" applyBorder="1" applyAlignment="1" applyProtection="1">
      <alignment horizontal="center" vertical="center"/>
    </xf>
    <xf numFmtId="0" fontId="7" fillId="3" borderId="39" xfId="0" applyFont="1" applyFill="1" applyBorder="1" applyAlignment="1" applyProtection="1">
      <alignment horizontal="center" vertical="center" shrinkToFit="1"/>
      <protection locked="0"/>
    </xf>
    <xf numFmtId="178" fontId="3" fillId="0" borderId="33" xfId="0" applyNumberFormat="1" applyFont="1" applyFill="1" applyBorder="1" applyAlignment="1" applyProtection="1">
      <alignment horizontal="center" vertical="center"/>
    </xf>
    <xf numFmtId="178" fontId="3" fillId="0" borderId="49"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shrinkToFit="1"/>
      <protection locked="0"/>
    </xf>
    <xf numFmtId="0" fontId="13" fillId="0" borderId="34"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20" xfId="0" applyFont="1" applyFill="1" applyBorder="1" applyAlignment="1">
      <alignment horizontal="center" vertical="center"/>
    </xf>
    <xf numFmtId="178" fontId="3" fillId="0" borderId="46" xfId="0" applyNumberFormat="1" applyFont="1" applyFill="1" applyBorder="1" applyAlignment="1" applyProtection="1">
      <alignment horizontal="center" vertical="center"/>
    </xf>
    <xf numFmtId="178" fontId="3" fillId="0" borderId="71" xfId="0" applyNumberFormat="1" applyFont="1" applyFill="1" applyBorder="1" applyAlignment="1" applyProtection="1">
      <alignment horizontal="center" vertical="center"/>
    </xf>
    <xf numFmtId="178" fontId="3" fillId="0" borderId="72" xfId="0" applyNumberFormat="1" applyFont="1" applyFill="1" applyBorder="1" applyAlignment="1" applyProtection="1">
      <alignment horizontal="center" vertical="center"/>
    </xf>
    <xf numFmtId="0" fontId="7" fillId="3" borderId="76" xfId="0" applyFont="1" applyFill="1" applyBorder="1" applyAlignment="1" applyProtection="1">
      <alignment horizontal="center" vertical="center" shrinkToFit="1"/>
      <protection locked="0"/>
    </xf>
    <xf numFmtId="0" fontId="7" fillId="3" borderId="77"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protection locked="0"/>
    </xf>
    <xf numFmtId="178" fontId="3" fillId="0" borderId="32" xfId="0" applyNumberFormat="1" applyFont="1" applyFill="1" applyBorder="1" applyAlignment="1" applyProtection="1">
      <alignment horizontal="center" vertical="center"/>
    </xf>
    <xf numFmtId="178" fontId="3" fillId="0" borderId="43" xfId="0" applyNumberFormat="1" applyFont="1" applyFill="1" applyBorder="1" applyAlignment="1" applyProtection="1">
      <alignment horizontal="center" vertical="center"/>
    </xf>
    <xf numFmtId="0" fontId="7" fillId="3" borderId="80" xfId="0" applyFont="1" applyFill="1" applyBorder="1" applyAlignment="1" applyProtection="1">
      <alignment horizontal="center" vertical="center" shrinkToFit="1"/>
      <protection locked="0"/>
    </xf>
    <xf numFmtId="0" fontId="7" fillId="3" borderId="68"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61" xfId="0" applyFont="1" applyFill="1" applyBorder="1" applyAlignment="1">
      <alignment horizontal="center" vertical="center"/>
    </xf>
    <xf numFmtId="0" fontId="3" fillId="0" borderId="34" xfId="0" applyFont="1" applyFill="1" applyBorder="1" applyAlignment="1">
      <alignment horizontal="center" vertical="center" wrapText="1"/>
    </xf>
    <xf numFmtId="0" fontId="7" fillId="3" borderId="75"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64"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19" xfId="0" applyFont="1" applyFill="1" applyBorder="1" applyAlignment="1">
      <alignment vertical="center"/>
    </xf>
    <xf numFmtId="178" fontId="3" fillId="0" borderId="4" xfId="0" applyNumberFormat="1" applyFont="1" applyFill="1" applyBorder="1" applyAlignment="1" applyProtection="1">
      <alignment horizontal="center" vertical="center"/>
    </xf>
    <xf numFmtId="178" fontId="3" fillId="0" borderId="64" xfId="0" applyNumberFormat="1" applyFont="1" applyFill="1" applyBorder="1" applyAlignment="1" applyProtection="1">
      <alignment horizontal="center" vertical="center"/>
    </xf>
    <xf numFmtId="178" fontId="3" fillId="0" borderId="69" xfId="0" applyNumberFormat="1" applyFont="1" applyFill="1" applyBorder="1" applyAlignment="1" applyProtection="1">
      <alignment horizontal="center" vertical="center"/>
    </xf>
    <xf numFmtId="178" fontId="3" fillId="0" borderId="70"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shrinkToFit="1"/>
    </xf>
    <xf numFmtId="0" fontId="3" fillId="0" borderId="36" xfId="0" applyFont="1" applyFill="1" applyBorder="1" applyAlignment="1">
      <alignment horizontal="center" vertical="center"/>
    </xf>
    <xf numFmtId="0" fontId="3" fillId="0" borderId="22" xfId="0" applyFont="1" applyFill="1" applyBorder="1" applyAlignment="1">
      <alignment horizontal="center" vertical="center"/>
    </xf>
    <xf numFmtId="0" fontId="7" fillId="3" borderId="42" xfId="0"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180" fontId="3" fillId="0" borderId="42"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0" fontId="7" fillId="3" borderId="32" xfId="0" applyFont="1" applyFill="1" applyBorder="1" applyAlignment="1" applyProtection="1">
      <alignment horizontal="center" vertical="center" shrinkToFit="1"/>
    </xf>
    <xf numFmtId="178" fontId="3" fillId="0" borderId="42" xfId="0" applyNumberFormat="1" applyFont="1" applyFill="1" applyBorder="1" applyAlignment="1" applyProtection="1">
      <alignment horizontal="center" vertical="center"/>
    </xf>
    <xf numFmtId="178" fontId="3" fillId="0" borderId="50" xfId="0" applyNumberFormat="1" applyFont="1" applyFill="1" applyBorder="1" applyAlignment="1" applyProtection="1">
      <alignment horizontal="center" vertical="center"/>
    </xf>
    <xf numFmtId="0" fontId="13" fillId="0" borderId="6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4" fillId="0" borderId="5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178" fontId="3"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vertical="center" shrinkToFit="1"/>
    </xf>
    <xf numFmtId="0" fontId="3" fillId="0" borderId="5" xfId="0" applyNumberFormat="1" applyFont="1" applyFill="1" applyBorder="1" applyAlignment="1" applyProtection="1">
      <alignment horizontal="center" vertical="center" shrinkToFit="1"/>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8" fontId="3" fillId="0" borderId="13" xfId="0" applyNumberFormat="1" applyFont="1" applyFill="1" applyBorder="1" applyAlignment="1" applyProtection="1">
      <alignment horizontal="center" vertical="center"/>
    </xf>
    <xf numFmtId="38" fontId="3" fillId="0" borderId="20" xfId="1" applyFont="1" applyFill="1" applyBorder="1" applyAlignment="1">
      <alignment horizontal="center" vertical="center"/>
    </xf>
    <xf numFmtId="38" fontId="3" fillId="0" borderId="53" xfId="1" applyFont="1" applyFill="1" applyBorder="1" applyAlignment="1">
      <alignment horizontal="center" vertical="center"/>
    </xf>
    <xf numFmtId="0" fontId="3" fillId="0" borderId="79" xfId="0" applyFont="1" applyFill="1" applyBorder="1" applyAlignment="1">
      <alignment horizontal="center" vertical="center"/>
    </xf>
    <xf numFmtId="0" fontId="7" fillId="3" borderId="88" xfId="0" applyFont="1" applyFill="1" applyBorder="1" applyAlignment="1" applyProtection="1">
      <alignment horizontal="center" vertical="center" shrinkToFit="1"/>
      <protection locked="0"/>
    </xf>
    <xf numFmtId="0" fontId="7" fillId="5" borderId="49" xfId="1" applyNumberFormat="1" applyFont="1" applyFill="1" applyBorder="1" applyAlignment="1" applyProtection="1">
      <alignment horizontal="center" vertical="center"/>
      <protection locked="0"/>
    </xf>
    <xf numFmtId="0" fontId="7" fillId="5" borderId="64" xfId="1" applyNumberFormat="1"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0" fontId="7" fillId="5" borderId="68" xfId="1" applyNumberFormat="1" applyFont="1" applyFill="1" applyBorder="1" applyAlignment="1" applyProtection="1">
      <alignment horizontal="center" vertical="center"/>
      <protection locked="0"/>
    </xf>
    <xf numFmtId="0" fontId="7" fillId="5" borderId="85" xfId="1" applyNumberFormat="1" applyFont="1" applyFill="1" applyBorder="1" applyAlignment="1" applyProtection="1">
      <alignment horizontal="center" vertical="center"/>
      <protection locked="0"/>
    </xf>
    <xf numFmtId="0" fontId="7" fillId="5" borderId="87" xfId="1" applyNumberFormat="1" applyFont="1" applyFill="1" applyBorder="1" applyAlignment="1" applyProtection="1">
      <alignment horizontal="center" vertical="center"/>
      <protection locked="0"/>
    </xf>
    <xf numFmtId="0" fontId="7" fillId="5" borderId="80" xfId="1" applyNumberFormat="1" applyFont="1" applyFill="1" applyBorder="1" applyAlignment="1" applyProtection="1">
      <alignment horizontal="center" vertical="center"/>
      <protection locked="0"/>
    </xf>
    <xf numFmtId="0" fontId="7" fillId="5" borderId="86" xfId="1" applyNumberFormat="1" applyFont="1" applyFill="1" applyBorder="1" applyAlignment="1" applyProtection="1">
      <alignment horizontal="center" vertical="center"/>
      <protection locked="0"/>
    </xf>
    <xf numFmtId="0" fontId="8" fillId="3" borderId="47" xfId="0" applyFont="1" applyFill="1" applyBorder="1" applyAlignment="1" applyProtection="1">
      <alignment horizontal="left" vertical="center" shrinkToFit="1"/>
      <protection locked="0"/>
    </xf>
    <xf numFmtId="0" fontId="3" fillId="3" borderId="45"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7" fillId="5" borderId="33" xfId="1" applyNumberFormat="1" applyFont="1" applyFill="1" applyBorder="1" applyAlignment="1" applyProtection="1">
      <alignment horizontal="center" vertical="center"/>
      <protection locked="0"/>
    </xf>
    <xf numFmtId="0" fontId="7" fillId="5" borderId="45" xfId="1" applyNumberFormat="1" applyFont="1" applyFill="1" applyBorder="1" applyAlignment="1" applyProtection="1">
      <alignment horizontal="center" vertical="center"/>
      <protection locked="0"/>
    </xf>
    <xf numFmtId="0" fontId="7" fillId="5" borderId="75" xfId="1" applyNumberFormat="1" applyFont="1" applyFill="1" applyBorder="1" applyAlignment="1" applyProtection="1">
      <alignment horizontal="center" vertical="center"/>
      <protection locked="0"/>
    </xf>
    <xf numFmtId="0" fontId="7" fillId="5" borderId="78" xfId="1" applyNumberFormat="1" applyFont="1" applyFill="1" applyBorder="1" applyAlignment="1" applyProtection="1">
      <alignment horizontal="center" vertical="center"/>
      <protection locked="0"/>
    </xf>
    <xf numFmtId="0" fontId="7" fillId="5" borderId="47" xfId="1" applyNumberFormat="1"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0" fontId="8" fillId="3" borderId="49" xfId="0" applyFont="1" applyFill="1" applyBorder="1" applyAlignment="1" applyProtection="1">
      <alignment horizontal="left" vertical="center" shrinkToFit="1"/>
      <protection locked="0"/>
    </xf>
    <xf numFmtId="0" fontId="7" fillId="3" borderId="87" xfId="0" applyFont="1" applyFill="1" applyBorder="1" applyAlignment="1" applyProtection="1">
      <alignment horizontal="center" vertical="center" shrinkToFit="1"/>
      <protection locked="0"/>
    </xf>
    <xf numFmtId="0" fontId="7" fillId="3" borderId="84" xfId="0" applyFont="1" applyFill="1" applyBorder="1" applyAlignment="1" applyProtection="1">
      <alignment horizontal="center" vertical="center" shrinkToFit="1"/>
      <protection locked="0"/>
    </xf>
    <xf numFmtId="0" fontId="7" fillId="3" borderId="85" xfId="0" applyFont="1" applyFill="1" applyBorder="1" applyAlignment="1" applyProtection="1">
      <alignment horizontal="center" vertical="center" shrinkToFit="1"/>
      <protection locked="0"/>
    </xf>
    <xf numFmtId="178" fontId="3" fillId="0" borderId="16" xfId="0" applyNumberFormat="1" applyFont="1" applyFill="1" applyBorder="1" applyAlignment="1" applyProtection="1">
      <alignment horizontal="center" vertical="center"/>
    </xf>
    <xf numFmtId="178" fontId="3" fillId="0" borderId="73" xfId="0" applyNumberFormat="1" applyFont="1" applyFill="1" applyBorder="1" applyAlignment="1" applyProtection="1">
      <alignment horizontal="center" vertical="center"/>
    </xf>
    <xf numFmtId="0" fontId="7" fillId="3" borderId="41" xfId="0" applyFont="1" applyFill="1" applyBorder="1" applyAlignment="1" applyProtection="1">
      <alignment horizontal="left" vertical="center" shrinkToFit="1"/>
      <protection locked="0"/>
    </xf>
    <xf numFmtId="0" fontId="8" fillId="3" borderId="50" xfId="0" applyFont="1" applyFill="1" applyBorder="1" applyAlignment="1" applyProtection="1">
      <alignment horizontal="left" vertical="center" shrinkToFit="1"/>
      <protection locked="0"/>
    </xf>
    <xf numFmtId="0" fontId="3" fillId="3" borderId="32"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0" borderId="6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7" fillId="5" borderId="32" xfId="1" applyNumberFormat="1" applyFont="1" applyFill="1" applyBorder="1" applyAlignment="1" applyProtection="1">
      <alignment horizontal="center" vertical="center"/>
      <protection locked="0"/>
    </xf>
    <xf numFmtId="0" fontId="7" fillId="5" borderId="42" xfId="1" applyNumberFormat="1" applyFont="1" applyFill="1" applyBorder="1" applyAlignment="1" applyProtection="1">
      <alignment horizontal="center" vertical="center"/>
      <protection locked="0"/>
    </xf>
    <xf numFmtId="0" fontId="7" fillId="5" borderId="77" xfId="1" applyNumberFormat="1" applyFont="1" applyFill="1" applyBorder="1" applyAlignment="1" applyProtection="1">
      <alignment horizontal="center" vertical="center"/>
      <protection locked="0"/>
    </xf>
    <xf numFmtId="0" fontId="7" fillId="5" borderId="88" xfId="1" applyNumberFormat="1" applyFont="1" applyFill="1" applyBorder="1" applyAlignment="1" applyProtection="1">
      <alignment horizontal="center" vertical="center"/>
      <protection locked="0"/>
    </xf>
    <xf numFmtId="0" fontId="7" fillId="5" borderId="50" xfId="1" applyNumberFormat="1" applyFont="1" applyFill="1" applyBorder="1" applyAlignment="1" applyProtection="1">
      <alignment horizontal="center" vertical="center"/>
      <protection locked="0"/>
    </xf>
    <xf numFmtId="2" fontId="6" fillId="0" borderId="0" xfId="0" applyNumberFormat="1" applyFont="1" applyFill="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24" xfId="0" applyNumberFormat="1" applyFont="1" applyFill="1" applyBorder="1" applyAlignment="1" applyProtection="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38" fontId="3" fillId="0" borderId="94" xfId="1" applyFont="1" applyFill="1" applyBorder="1" applyAlignment="1">
      <alignment horizontal="center" vertical="center"/>
    </xf>
    <xf numFmtId="38" fontId="3" fillId="0" borderId="95" xfId="1" applyFont="1" applyFill="1" applyBorder="1" applyAlignment="1">
      <alignment horizontal="center" vertical="center"/>
    </xf>
    <xf numFmtId="38" fontId="3" fillId="0" borderId="38" xfId="1" applyFont="1" applyFill="1" applyBorder="1" applyAlignment="1">
      <alignment horizontal="center" vertical="center"/>
    </xf>
    <xf numFmtId="38" fontId="3" fillId="0" borderId="96" xfId="1"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7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3" borderId="49" xfId="0" applyFont="1" applyFill="1" applyBorder="1" applyAlignment="1" applyProtection="1">
      <alignment horizontal="center" vertical="center"/>
    </xf>
    <xf numFmtId="0" fontId="7" fillId="3" borderId="50" xfId="0" applyFont="1" applyFill="1" applyBorder="1" applyAlignment="1" applyProtection="1">
      <alignment horizontal="left" vertical="center" shrinkToFit="1"/>
      <protection locked="0"/>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 xfId="0" applyFont="1" applyFill="1" applyBorder="1" applyAlignment="1">
      <alignment horizontal="center" vertical="center"/>
    </xf>
    <xf numFmtId="0" fontId="7" fillId="3" borderId="62" xfId="0" applyFont="1" applyFill="1" applyBorder="1" applyAlignment="1" applyProtection="1">
      <alignment horizontal="left" vertical="center" shrinkToFit="1"/>
      <protection locked="0"/>
    </xf>
    <xf numFmtId="0" fontId="7" fillId="3" borderId="63" xfId="0" applyFont="1" applyFill="1" applyBorder="1" applyAlignment="1" applyProtection="1">
      <alignment horizontal="left" vertical="center" shrinkToFit="1"/>
      <protection locked="0"/>
    </xf>
    <xf numFmtId="0" fontId="7" fillId="3" borderId="114" xfId="0" applyFont="1" applyFill="1" applyBorder="1" applyAlignment="1" applyProtection="1">
      <alignment horizontal="left" vertical="center" shrinkToFit="1"/>
      <protection locked="0"/>
    </xf>
    <xf numFmtId="177" fontId="3" fillId="0" borderId="23"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0" fontId="7" fillId="3" borderId="102" xfId="0" applyFont="1" applyFill="1" applyBorder="1" applyAlignment="1" applyProtection="1">
      <alignment horizontal="center" vertical="center" shrinkToFit="1"/>
    </xf>
    <xf numFmtId="0" fontId="7" fillId="3" borderId="103" xfId="0" applyFont="1" applyFill="1" applyBorder="1" applyAlignment="1" applyProtection="1">
      <alignment horizontal="center" vertical="center" shrinkToFit="1"/>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3" borderId="16" xfId="0" applyFont="1" applyFill="1" applyBorder="1" applyAlignment="1" applyProtection="1">
      <alignment horizontal="center" vertical="center" shrinkToFit="1"/>
      <protection locked="0"/>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2" fontId="6" fillId="0" borderId="0" xfId="0" applyNumberFormat="1" applyFont="1" applyAlignment="1">
      <alignment horizontal="center" vertical="center"/>
    </xf>
    <xf numFmtId="0" fontId="3" fillId="0" borderId="91" xfId="0" applyFont="1" applyBorder="1" applyAlignment="1">
      <alignment horizontal="center" vertical="center"/>
    </xf>
    <xf numFmtId="0" fontId="3" fillId="0" borderId="34" xfId="0" applyFont="1" applyBorder="1" applyAlignment="1">
      <alignment horizontal="center" vertical="center"/>
    </xf>
    <xf numFmtId="0" fontId="3" fillId="0" borderId="93"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4" xfId="0" applyFont="1" applyBorder="1" applyAlignment="1">
      <alignment horizontal="center" vertical="center"/>
    </xf>
    <xf numFmtId="0" fontId="1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38" fontId="3" fillId="0" borderId="20" xfId="1" applyFont="1" applyBorder="1" applyAlignment="1">
      <alignment horizontal="center" vertical="center"/>
    </xf>
    <xf numFmtId="38" fontId="3" fillId="0" borderId="53" xfId="1" applyFont="1" applyBorder="1" applyAlignment="1">
      <alignment horizontal="center" vertical="center"/>
    </xf>
    <xf numFmtId="0" fontId="3" fillId="0" borderId="79" xfId="0" applyFont="1" applyBorder="1" applyAlignment="1">
      <alignment horizontal="center" vertical="center"/>
    </xf>
    <xf numFmtId="0" fontId="7" fillId="3" borderId="41" xfId="0" applyFont="1" applyFill="1" applyBorder="1" applyAlignment="1" applyProtection="1">
      <alignment horizontal="center" vertical="center" shrinkToFit="1"/>
      <protection locked="0"/>
    </xf>
    <xf numFmtId="0" fontId="8" fillId="3" borderId="50" xfId="0" applyFont="1" applyFill="1" applyBorder="1" applyAlignment="1" applyProtection="1">
      <alignment horizontal="center" vertical="center" shrinkToFit="1"/>
      <protection locked="0"/>
    </xf>
    <xf numFmtId="178" fontId="3" fillId="0" borderId="39" xfId="0"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70" xfId="0" applyNumberFormat="1" applyFont="1" applyBorder="1" applyAlignment="1">
      <alignment horizontal="center" vertical="center"/>
    </xf>
    <xf numFmtId="0" fontId="7" fillId="3" borderId="48" xfId="0" applyFont="1" applyFill="1" applyBorder="1" applyAlignment="1" applyProtection="1">
      <alignment horizontal="center" vertical="center" shrinkToFit="1"/>
      <protection locked="0"/>
    </xf>
    <xf numFmtId="0" fontId="8" fillId="3" borderId="49" xfId="0" applyFont="1" applyFill="1" applyBorder="1" applyAlignment="1" applyProtection="1">
      <alignment horizontal="center" vertical="center" shrinkToFit="1"/>
      <protection locked="0"/>
    </xf>
    <xf numFmtId="178" fontId="3" fillId="0" borderId="64" xfId="0" applyNumberFormat="1" applyFont="1" applyBorder="1" applyAlignment="1">
      <alignment horizontal="center" vertical="center"/>
    </xf>
    <xf numFmtId="178" fontId="3" fillId="0" borderId="69" xfId="0" applyNumberFormat="1" applyFont="1" applyBorder="1" applyAlignment="1">
      <alignment horizontal="center" vertical="center"/>
    </xf>
    <xf numFmtId="0" fontId="7" fillId="3" borderId="44" xfId="0" applyFont="1" applyFill="1" applyBorder="1" applyAlignment="1" applyProtection="1">
      <alignment horizontal="center" vertical="center" shrinkToFit="1"/>
      <protection locked="0"/>
    </xf>
    <xf numFmtId="0" fontId="8" fillId="3" borderId="47" xfId="0" applyFont="1" applyFill="1" applyBorder="1" applyAlignment="1" applyProtection="1">
      <alignment horizontal="center" vertical="center" shrinkToFit="1"/>
      <protection locked="0"/>
    </xf>
    <xf numFmtId="178" fontId="3" fillId="0" borderId="33" xfId="0" applyNumberFormat="1" applyFont="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1" xfId="0" applyFont="1" applyFill="1" applyBorder="1" applyAlignment="1">
      <alignment horizontal="center" vertical="center"/>
    </xf>
    <xf numFmtId="178" fontId="3" fillId="0" borderId="71" xfId="0" applyNumberFormat="1" applyFont="1" applyBorder="1" applyAlignment="1">
      <alignment horizontal="center" vertical="center"/>
    </xf>
    <xf numFmtId="178" fontId="3" fillId="0" borderId="72" xfId="0" applyNumberFormat="1" applyFont="1" applyBorder="1" applyAlignment="1">
      <alignment horizontal="center" vertical="center"/>
    </xf>
    <xf numFmtId="0" fontId="3" fillId="2" borderId="51"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65" xfId="0" applyFont="1" applyBorder="1" applyAlignment="1">
      <alignment horizontal="center" vertical="center" wrapText="1"/>
    </xf>
    <xf numFmtId="0" fontId="3" fillId="0" borderId="59" xfId="0" applyFont="1" applyBorder="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7" fillId="3" borderId="65"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178" fontId="3" fillId="2" borderId="42" xfId="0" applyNumberFormat="1" applyFont="1" applyFill="1" applyBorder="1" applyAlignment="1">
      <alignment horizontal="center" vertical="center"/>
    </xf>
    <xf numFmtId="178" fontId="3" fillId="2" borderId="50" xfId="0" applyNumberFormat="1" applyFont="1" applyFill="1" applyBorder="1" applyAlignment="1">
      <alignment horizontal="center" vertical="center"/>
    </xf>
    <xf numFmtId="178" fontId="3" fillId="0" borderId="65"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73" xfId="0" applyNumberFormat="1" applyFont="1" applyBorder="1" applyAlignment="1">
      <alignment horizontal="center" vertical="center"/>
    </xf>
    <xf numFmtId="178" fontId="3" fillId="2" borderId="68" xfId="0" applyNumberFormat="1" applyFont="1" applyFill="1" applyBorder="1" applyAlignment="1">
      <alignment horizontal="center" vertical="center"/>
    </xf>
    <xf numFmtId="178" fontId="3" fillId="2" borderId="49" xfId="0" applyNumberFormat="1" applyFont="1" applyFill="1" applyBorder="1" applyAlignment="1">
      <alignment horizontal="center" vertical="center"/>
    </xf>
    <xf numFmtId="178" fontId="3" fillId="0" borderId="68" xfId="0" applyNumberFormat="1" applyFont="1" applyBorder="1" applyAlignment="1">
      <alignment horizontal="center" vertical="center"/>
    </xf>
    <xf numFmtId="178" fontId="3" fillId="0" borderId="49" xfId="0" applyNumberFormat="1" applyFont="1" applyBorder="1" applyAlignment="1">
      <alignment horizontal="center" vertical="center"/>
    </xf>
    <xf numFmtId="178" fontId="3" fillId="0" borderId="83" xfId="0" applyNumberFormat="1" applyFont="1" applyBorder="1" applyAlignment="1">
      <alignment horizontal="center" vertical="center"/>
    </xf>
    <xf numFmtId="178" fontId="3" fillId="0" borderId="82" xfId="0" applyNumberFormat="1" applyFont="1" applyBorder="1" applyAlignment="1">
      <alignment horizontal="center" vertical="center"/>
    </xf>
    <xf numFmtId="178" fontId="3" fillId="0" borderId="45"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104" xfId="0" applyNumberFormat="1" applyFont="1" applyBorder="1" applyAlignment="1">
      <alignment horizontal="center" vertical="center"/>
    </xf>
    <xf numFmtId="178" fontId="3" fillId="0" borderId="105" xfId="0" applyNumberFormat="1" applyFont="1" applyBorder="1" applyAlignment="1">
      <alignment horizontal="center" vertical="center"/>
    </xf>
    <xf numFmtId="178" fontId="3" fillId="0" borderId="106" xfId="0" applyNumberFormat="1" applyFont="1" applyBorder="1" applyAlignment="1">
      <alignment horizontal="center" vertical="center"/>
    </xf>
    <xf numFmtId="178" fontId="3" fillId="0" borderId="61" xfId="0" applyNumberFormat="1" applyFont="1" applyBorder="1" applyAlignment="1">
      <alignment horizontal="center" vertical="center"/>
    </xf>
    <xf numFmtId="0" fontId="7" fillId="3" borderId="102" xfId="0" applyFont="1" applyFill="1" applyBorder="1" applyAlignment="1" applyProtection="1">
      <alignment horizontal="center" vertical="center" shrinkToFit="1"/>
      <protection locked="0"/>
    </xf>
    <xf numFmtId="0" fontId="7" fillId="3" borderId="103" xfId="0" applyFont="1" applyFill="1" applyBorder="1" applyAlignment="1" applyProtection="1">
      <alignment horizontal="center" vertical="center" shrinkToFit="1"/>
      <protection locked="0"/>
    </xf>
    <xf numFmtId="178" fontId="3" fillId="2" borderId="45" xfId="0" applyNumberFormat="1" applyFont="1" applyFill="1" applyBorder="1" applyAlignment="1">
      <alignment horizontal="center" vertical="center"/>
    </xf>
    <xf numFmtId="178" fontId="3" fillId="2" borderId="47" xfId="0" applyNumberFormat="1" applyFont="1" applyFill="1" applyBorder="1" applyAlignment="1">
      <alignment horizontal="center" vertical="center"/>
    </xf>
    <xf numFmtId="178" fontId="3" fillId="0" borderId="13" xfId="0" applyNumberFormat="1"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178"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0" fontId="3" fillId="0" borderId="53" xfId="0" applyFont="1" applyBorder="1" applyAlignment="1">
      <alignment horizontal="center" vertical="center"/>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7" fillId="3" borderId="91"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7" fillId="3" borderId="107"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93"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8" fillId="0" borderId="108" xfId="0" applyFont="1" applyBorder="1" applyAlignment="1">
      <alignment horizontal="center" vertical="center"/>
    </xf>
    <xf numFmtId="0" fontId="8" fillId="0" borderId="71" xfId="0" applyFont="1" applyBorder="1" applyAlignment="1">
      <alignment horizontal="center" vertical="center"/>
    </xf>
    <xf numFmtId="0" fontId="3" fillId="0" borderId="34" xfId="0" applyFont="1" applyBorder="1" applyAlignment="1">
      <alignment horizontal="center" wrapText="1"/>
    </xf>
    <xf numFmtId="0" fontId="3" fillId="0" borderId="34"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horizontal="center" wrapText="1"/>
    </xf>
    <xf numFmtId="0" fontId="3" fillId="0" borderId="0" xfId="0" applyFont="1" applyAlignment="1">
      <alignment horizontal="center"/>
    </xf>
    <xf numFmtId="0" fontId="18" fillId="0" borderId="41"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3" fillId="0" borderId="32" xfId="0" applyFont="1" applyFill="1" applyBorder="1" applyAlignment="1">
      <alignment horizontal="center" vertical="center"/>
    </xf>
    <xf numFmtId="178" fontId="3" fillId="0" borderId="43" xfId="0" applyNumberFormat="1" applyFont="1" applyBorder="1" applyAlignment="1">
      <alignment horizontal="center" vertical="center"/>
    </xf>
    <xf numFmtId="0" fontId="18" fillId="0" borderId="48"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8" fillId="0" borderId="64" xfId="0" applyFont="1" applyFill="1" applyBorder="1" applyAlignment="1" applyProtection="1">
      <alignment horizontal="center" vertical="center"/>
    </xf>
    <xf numFmtId="0" fontId="3" fillId="0" borderId="64" xfId="0" applyFont="1" applyFill="1" applyBorder="1" applyAlignment="1">
      <alignment horizontal="center" vertical="center"/>
    </xf>
    <xf numFmtId="178" fontId="3" fillId="0" borderId="46" xfId="0" applyNumberFormat="1" applyFont="1" applyBorder="1" applyAlignment="1">
      <alignment horizontal="center" vertical="center"/>
    </xf>
    <xf numFmtId="0" fontId="3" fillId="0" borderId="33" xfId="0" applyFont="1" applyFill="1" applyBorder="1" applyAlignment="1">
      <alignment horizontal="center" vertical="center"/>
    </xf>
    <xf numFmtId="0" fontId="18" fillId="0" borderId="44"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5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 xfId="0" applyFont="1" applyFill="1" applyBorder="1" applyAlignment="1">
      <alignment horizontal="center" vertical="center"/>
    </xf>
    <xf numFmtId="0" fontId="7" fillId="3" borderId="110" xfId="0" applyFont="1" applyFill="1" applyBorder="1" applyAlignment="1" applyProtection="1">
      <alignment horizontal="center" vertical="center" shrinkToFit="1"/>
      <protection locked="0"/>
    </xf>
    <xf numFmtId="0" fontId="7" fillId="3" borderId="111" xfId="0" applyFont="1" applyFill="1" applyBorder="1" applyAlignment="1" applyProtection="1">
      <alignment horizontal="center" vertical="center" shrinkToFit="1"/>
      <protection locked="0"/>
    </xf>
    <xf numFmtId="179" fontId="7" fillId="3" borderId="16" xfId="0" applyNumberFormat="1" applyFont="1" applyFill="1" applyBorder="1" applyAlignment="1" applyProtection="1">
      <alignment horizontal="center" vertical="center" shrinkToFit="1"/>
      <protection locked="0"/>
    </xf>
    <xf numFmtId="178" fontId="3" fillId="0" borderId="17" xfId="0" applyNumberFormat="1" applyFont="1" applyBorder="1" applyAlignment="1">
      <alignment horizontal="center" vertical="center"/>
    </xf>
    <xf numFmtId="0" fontId="18" fillId="0" borderId="113"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49" xfId="0" applyFont="1" applyFill="1" applyBorder="1" applyAlignment="1">
      <alignment horizontal="center" vertical="center"/>
    </xf>
    <xf numFmtId="179" fontId="7" fillId="3" borderId="64" xfId="0" applyNumberFormat="1" applyFont="1" applyFill="1" applyBorder="1" applyAlignment="1" applyProtection="1">
      <alignment horizontal="center" vertical="center" shrinkToFit="1"/>
      <protection locked="0"/>
    </xf>
    <xf numFmtId="178" fontId="3" fillId="0" borderId="109" xfId="0" applyNumberFormat="1" applyFont="1" applyBorder="1" applyAlignment="1">
      <alignment horizontal="center" vertical="center"/>
    </xf>
    <xf numFmtId="0" fontId="18" fillId="0" borderId="48" xfId="0" applyFont="1" applyFill="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178" fontId="3" fillId="0" borderId="24" xfId="0" applyNumberFormat="1" applyFont="1" applyBorder="1" applyAlignment="1">
      <alignment horizontal="center" vertical="center"/>
    </xf>
    <xf numFmtId="0" fontId="18" fillId="0" borderId="29"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0" xfId="0" applyFont="1" applyFill="1" applyBorder="1" applyAlignment="1">
      <alignment horizontal="center" vertical="center"/>
    </xf>
    <xf numFmtId="0" fontId="7" fillId="3" borderId="115" xfId="0" applyFont="1" applyFill="1" applyBorder="1" applyAlignment="1" applyProtection="1">
      <alignment horizontal="center" vertical="center" shrinkToFit="1"/>
      <protection locked="0"/>
    </xf>
    <xf numFmtId="0" fontId="7" fillId="3" borderId="116" xfId="0" applyFont="1" applyFill="1" applyBorder="1" applyAlignment="1" applyProtection="1">
      <alignment horizontal="center" vertical="center" shrinkToFit="1"/>
      <protection locked="0"/>
    </xf>
    <xf numFmtId="179" fontId="7" fillId="3" borderId="33" xfId="0" applyNumberFormat="1" applyFont="1" applyFill="1" applyBorder="1" applyAlignment="1" applyProtection="1">
      <alignment horizontal="center" vertical="center" shrinkToFit="1"/>
      <protection locked="0"/>
    </xf>
    <xf numFmtId="179" fontId="7" fillId="3" borderId="45" xfId="0" applyNumberFormat="1" applyFont="1" applyFill="1" applyBorder="1" applyAlignment="1" applyProtection="1">
      <alignment horizontal="center" vertical="center" shrinkToFit="1"/>
      <protection locked="0"/>
    </xf>
    <xf numFmtId="178" fontId="3" fillId="0" borderId="102" xfId="0" applyNumberFormat="1" applyFont="1" applyBorder="1" applyAlignment="1">
      <alignment horizontal="center" vertical="center"/>
    </xf>
    <xf numFmtId="178" fontId="3" fillId="0" borderId="112" xfId="0" applyNumberFormat="1" applyFont="1" applyBorder="1" applyAlignment="1">
      <alignment horizontal="center" vertical="center"/>
    </xf>
  </cellXfs>
  <cellStyles count="3">
    <cellStyle name="桁区切り" xfId="1" builtinId="6"/>
    <cellStyle name="標準" xfId="0" builtinId="0"/>
    <cellStyle name="標準 2" xfId="2"/>
  </cellStyles>
  <dxfs count="2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trlProps/ctrlProp1.xml><?xml version="1.0" encoding="utf-8"?>
<formControlPr xmlns="http://schemas.microsoft.com/office/spreadsheetml/2009/9/main" objectType="Radio" checked="Checked" firstButton="1" fmlaLink="$AF$17" lockText="1" noThreeD="1"/>
</file>

<file path=xl/ctrlProps/ctrlProp10.xml><?xml version="1.0" encoding="utf-8"?>
<formControlPr xmlns="http://schemas.microsoft.com/office/spreadsheetml/2009/9/main" objectType="CheckBox" fmlaLink="$AG$19" lockText="1" noThreeD="1"/>
</file>

<file path=xl/ctrlProps/ctrlProp100.xml><?xml version="1.0" encoding="utf-8"?>
<formControlPr xmlns="http://schemas.microsoft.com/office/spreadsheetml/2009/9/main" objectType="CheckBox" fmlaLink="$AD$35" lockText="1" noThreeD="1"/>
</file>

<file path=xl/ctrlProps/ctrlProp101.xml><?xml version="1.0" encoding="utf-8"?>
<formControlPr xmlns="http://schemas.microsoft.com/office/spreadsheetml/2009/9/main" objectType="CheckBox" fmlaLink="$AG$8" lockText="1" noThreeD="1"/>
</file>

<file path=xl/ctrlProps/ctrlProp102.xml><?xml version="1.0" encoding="utf-8"?>
<formControlPr xmlns="http://schemas.microsoft.com/office/spreadsheetml/2009/9/main" objectType="CheckBox" fmlaLink="$AG$9" lockText="1" noThreeD="1"/>
</file>

<file path=xl/ctrlProps/ctrlProp103.xml><?xml version="1.0" encoding="utf-8"?>
<formControlPr xmlns="http://schemas.microsoft.com/office/spreadsheetml/2009/9/main" objectType="CheckBox" fmlaLink="$AG$15" lockText="1" noThreeD="1"/>
</file>

<file path=xl/ctrlProps/ctrlProp104.xml><?xml version="1.0" encoding="utf-8"?>
<formControlPr xmlns="http://schemas.microsoft.com/office/spreadsheetml/2009/9/main" objectType="CheckBox" fmlaLink="$AG$16" lockText="1" noThreeD="1"/>
</file>

<file path=xl/ctrlProps/ctrlProp105.xml><?xml version="1.0" encoding="utf-8"?>
<formControlPr xmlns="http://schemas.microsoft.com/office/spreadsheetml/2009/9/main" objectType="CheckBox" fmlaLink="$AG$17" lockText="1" noThreeD="1"/>
</file>

<file path=xl/ctrlProps/ctrlProp106.xml><?xml version="1.0" encoding="utf-8"?>
<formControlPr xmlns="http://schemas.microsoft.com/office/spreadsheetml/2009/9/main" objectType="CheckBox" fmlaLink="$AG$18" lockText="1" noThreeD="1"/>
</file>

<file path=xl/ctrlProps/ctrlProp107.xml><?xml version="1.0" encoding="utf-8"?>
<formControlPr xmlns="http://schemas.microsoft.com/office/spreadsheetml/2009/9/main" objectType="CheckBox" fmlaLink="$AG$19" lockText="1" noThreeD="1"/>
</file>

<file path=xl/ctrlProps/ctrlProp108.xml><?xml version="1.0" encoding="utf-8"?>
<formControlPr xmlns="http://schemas.microsoft.com/office/spreadsheetml/2009/9/main" objectType="CheckBox" fmlaLink="$AG$10" lockText="1" noThreeD="1"/>
</file>

<file path=xl/ctrlProps/ctrlProp109.xml><?xml version="1.0" encoding="utf-8"?>
<formControlPr xmlns="http://schemas.microsoft.com/office/spreadsheetml/2009/9/main" objectType="CheckBox" fmlaLink="$AG$11" lockText="1" noThreeD="1"/>
</file>

<file path=xl/ctrlProps/ctrlProp11.xml><?xml version="1.0" encoding="utf-8"?>
<formControlPr xmlns="http://schemas.microsoft.com/office/spreadsheetml/2009/9/main" objectType="CheckBox" checked="Checked" fmlaLink="$AG$10" lockText="1" noThreeD="1"/>
</file>

<file path=xl/ctrlProps/ctrlProp110.xml><?xml version="1.0" encoding="utf-8"?>
<formControlPr xmlns="http://schemas.microsoft.com/office/spreadsheetml/2009/9/main" objectType="CheckBox" fmlaLink="$AG$14" lockText="1" noThreeD="1"/>
</file>

<file path=xl/ctrlProps/ctrlProp111.xml><?xml version="1.0" encoding="utf-8"?>
<formControlPr xmlns="http://schemas.microsoft.com/office/spreadsheetml/2009/9/main" objectType="CheckBox" fmlaLink="$AD$33" lockText="1" noThreeD="1"/>
</file>

<file path=xl/ctrlProps/ctrlProp112.xml><?xml version="1.0" encoding="utf-8"?>
<formControlPr xmlns="http://schemas.microsoft.com/office/spreadsheetml/2009/9/main" objectType="CheckBox" fmlaLink="$AD$36" lockText="1" noThreeD="1"/>
</file>

<file path=xl/ctrlProps/ctrlProp113.xml><?xml version="1.0" encoding="utf-8"?>
<formControlPr xmlns="http://schemas.microsoft.com/office/spreadsheetml/2009/9/main" objectType="CheckBox" fmlaLink="$AD$37" lockText="1" noThreeD="1"/>
</file>

<file path=xl/ctrlProps/ctrlProp114.xml><?xml version="1.0" encoding="utf-8"?>
<formControlPr xmlns="http://schemas.microsoft.com/office/spreadsheetml/2009/9/main" objectType="CheckBox" fmlaLink="$AG$12" lockText="1" noThreeD="1"/>
</file>

<file path=xl/ctrlProps/ctrlProp115.xml><?xml version="1.0" encoding="utf-8"?>
<formControlPr xmlns="http://schemas.microsoft.com/office/spreadsheetml/2009/9/main" objectType="CheckBox" fmlaLink="$AG$13" lockText="1" noThreeD="1"/>
</file>

<file path=xl/ctrlProps/ctrlProp116.xml><?xml version="1.0" encoding="utf-8"?>
<formControlPr xmlns="http://schemas.microsoft.com/office/spreadsheetml/2009/9/main" objectType="CheckBox" fmlaLink="$AD$34" lockText="1" noThreeD="1"/>
</file>

<file path=xl/ctrlProps/ctrlProp117.xml><?xml version="1.0" encoding="utf-8"?>
<formControlPr xmlns="http://schemas.microsoft.com/office/spreadsheetml/2009/9/main" objectType="CheckBox" fmlaLink="$AD$35" lockText="1" noThreeD="1"/>
</file>

<file path=xl/ctrlProps/ctrlProp118.xml><?xml version="1.0" encoding="utf-8"?>
<formControlPr xmlns="http://schemas.microsoft.com/office/spreadsheetml/2009/9/main" objectType="CheckBox" checked="Checked" fmlaLink="$AG$8" lockText="1" noThreeD="1"/>
</file>

<file path=xl/ctrlProps/ctrlProp119.xml><?xml version="1.0" encoding="utf-8"?>
<formControlPr xmlns="http://schemas.microsoft.com/office/spreadsheetml/2009/9/main" objectType="CheckBox" fmlaLink="$AG$9" lockText="1" noThreeD="1"/>
</file>

<file path=xl/ctrlProps/ctrlProp12.xml><?xml version="1.0" encoding="utf-8"?>
<formControlPr xmlns="http://schemas.microsoft.com/office/spreadsheetml/2009/9/main" objectType="CheckBox" checked="Checked" fmlaLink="$AG$11" lockText="1" noThreeD="1"/>
</file>

<file path=xl/ctrlProps/ctrlProp120.xml><?xml version="1.0" encoding="utf-8"?>
<formControlPr xmlns="http://schemas.microsoft.com/office/spreadsheetml/2009/9/main" objectType="CheckBox" fmlaLink="$AG$15" lockText="1" noThreeD="1"/>
</file>

<file path=xl/ctrlProps/ctrlProp121.xml><?xml version="1.0" encoding="utf-8"?>
<formControlPr xmlns="http://schemas.microsoft.com/office/spreadsheetml/2009/9/main" objectType="CheckBox" fmlaLink="$AG$16" lockText="1" noThreeD="1"/>
</file>

<file path=xl/ctrlProps/ctrlProp122.xml><?xml version="1.0" encoding="utf-8"?>
<formControlPr xmlns="http://schemas.microsoft.com/office/spreadsheetml/2009/9/main" objectType="CheckBox" fmlaLink="$AG$17" lockText="1" noThreeD="1"/>
</file>

<file path=xl/ctrlProps/ctrlProp123.xml><?xml version="1.0" encoding="utf-8"?>
<formControlPr xmlns="http://schemas.microsoft.com/office/spreadsheetml/2009/9/main" objectType="CheckBox" fmlaLink="$AG$18" lockText="1" noThreeD="1"/>
</file>

<file path=xl/ctrlProps/ctrlProp124.xml><?xml version="1.0" encoding="utf-8"?>
<formControlPr xmlns="http://schemas.microsoft.com/office/spreadsheetml/2009/9/main" objectType="CheckBox" fmlaLink="$AG$19" lockText="1" noThreeD="1"/>
</file>

<file path=xl/ctrlProps/ctrlProp125.xml><?xml version="1.0" encoding="utf-8"?>
<formControlPr xmlns="http://schemas.microsoft.com/office/spreadsheetml/2009/9/main" objectType="CheckBox" fmlaLink="$AG$10" lockText="1" noThreeD="1"/>
</file>

<file path=xl/ctrlProps/ctrlProp126.xml><?xml version="1.0" encoding="utf-8"?>
<formControlPr xmlns="http://schemas.microsoft.com/office/spreadsheetml/2009/9/main" objectType="CheckBox" fmlaLink="$AG$11" lockText="1" noThreeD="1"/>
</file>

<file path=xl/ctrlProps/ctrlProp127.xml><?xml version="1.0" encoding="utf-8"?>
<formControlPr xmlns="http://schemas.microsoft.com/office/spreadsheetml/2009/9/main" objectType="CheckBox" fmlaLink="$AG$14" lockText="1" noThreeD="1"/>
</file>

<file path=xl/ctrlProps/ctrlProp128.xml><?xml version="1.0" encoding="utf-8"?>
<formControlPr xmlns="http://schemas.microsoft.com/office/spreadsheetml/2009/9/main" objectType="CheckBox" fmlaLink="$AD$33" lockText="1" noThreeD="1"/>
</file>

<file path=xl/ctrlProps/ctrlProp129.xml><?xml version="1.0" encoding="utf-8"?>
<formControlPr xmlns="http://schemas.microsoft.com/office/spreadsheetml/2009/9/main" objectType="CheckBox" fmlaLink="$AD$36" lockText="1" noThreeD="1"/>
</file>

<file path=xl/ctrlProps/ctrlProp13.xml><?xml version="1.0" encoding="utf-8"?>
<formControlPr xmlns="http://schemas.microsoft.com/office/spreadsheetml/2009/9/main" objectType="CheckBox" fmlaLink="$AG$14" lockText="1" noThreeD="1"/>
</file>

<file path=xl/ctrlProps/ctrlProp130.xml><?xml version="1.0" encoding="utf-8"?>
<formControlPr xmlns="http://schemas.microsoft.com/office/spreadsheetml/2009/9/main" objectType="CheckBox" fmlaLink="$AD$37" lockText="1" noThreeD="1"/>
</file>

<file path=xl/ctrlProps/ctrlProp131.xml><?xml version="1.0" encoding="utf-8"?>
<formControlPr xmlns="http://schemas.microsoft.com/office/spreadsheetml/2009/9/main" objectType="CheckBox" fmlaLink="$AG$12" lockText="1" noThreeD="1"/>
</file>

<file path=xl/ctrlProps/ctrlProp132.xml><?xml version="1.0" encoding="utf-8"?>
<formControlPr xmlns="http://schemas.microsoft.com/office/spreadsheetml/2009/9/main" objectType="CheckBox" fmlaLink="$AG$13" lockText="1" noThreeD="1"/>
</file>

<file path=xl/ctrlProps/ctrlProp133.xml><?xml version="1.0" encoding="utf-8"?>
<formControlPr xmlns="http://schemas.microsoft.com/office/spreadsheetml/2009/9/main" objectType="CheckBox" fmlaLink="$AD$34" lockText="1" noThreeD="1"/>
</file>

<file path=xl/ctrlProps/ctrlProp134.xml><?xml version="1.0" encoding="utf-8"?>
<formControlPr xmlns="http://schemas.microsoft.com/office/spreadsheetml/2009/9/main" objectType="CheckBox" fmlaLink="$AD$35" lockText="1" noThreeD="1"/>
</file>

<file path=xl/ctrlProps/ctrlProp135.xml><?xml version="1.0" encoding="utf-8"?>
<formControlPr xmlns="http://schemas.microsoft.com/office/spreadsheetml/2009/9/main" objectType="CheckBox" fmlaLink="$AG$8" lockText="1" noThreeD="1"/>
</file>

<file path=xl/ctrlProps/ctrlProp136.xml><?xml version="1.0" encoding="utf-8"?>
<formControlPr xmlns="http://schemas.microsoft.com/office/spreadsheetml/2009/9/main" objectType="CheckBox" fmlaLink="$AG$9" lockText="1" noThreeD="1"/>
</file>

<file path=xl/ctrlProps/ctrlProp137.xml><?xml version="1.0" encoding="utf-8"?>
<formControlPr xmlns="http://schemas.microsoft.com/office/spreadsheetml/2009/9/main" objectType="CheckBox" fmlaLink="$AG$15" lockText="1" noThreeD="1"/>
</file>

<file path=xl/ctrlProps/ctrlProp138.xml><?xml version="1.0" encoding="utf-8"?>
<formControlPr xmlns="http://schemas.microsoft.com/office/spreadsheetml/2009/9/main" objectType="CheckBox" fmlaLink="$AG$16" lockText="1" noThreeD="1"/>
</file>

<file path=xl/ctrlProps/ctrlProp139.xml><?xml version="1.0" encoding="utf-8"?>
<formControlPr xmlns="http://schemas.microsoft.com/office/spreadsheetml/2009/9/main" objectType="CheckBox" fmlaLink="$AG$17" lockText="1" noThreeD="1"/>
</file>

<file path=xl/ctrlProps/ctrlProp14.xml><?xml version="1.0" encoding="utf-8"?>
<formControlPr xmlns="http://schemas.microsoft.com/office/spreadsheetml/2009/9/main" objectType="CheckBox" fmlaLink="$AD$33" lockText="1" noThreeD="1"/>
</file>

<file path=xl/ctrlProps/ctrlProp140.xml><?xml version="1.0" encoding="utf-8"?>
<formControlPr xmlns="http://schemas.microsoft.com/office/spreadsheetml/2009/9/main" objectType="CheckBox" fmlaLink="$AG$18" lockText="1" noThreeD="1"/>
</file>

<file path=xl/ctrlProps/ctrlProp141.xml><?xml version="1.0" encoding="utf-8"?>
<formControlPr xmlns="http://schemas.microsoft.com/office/spreadsheetml/2009/9/main" objectType="CheckBox" fmlaLink="$AG$19" lockText="1" noThreeD="1"/>
</file>

<file path=xl/ctrlProps/ctrlProp142.xml><?xml version="1.0" encoding="utf-8"?>
<formControlPr xmlns="http://schemas.microsoft.com/office/spreadsheetml/2009/9/main" objectType="CheckBox" fmlaLink="$AG$10" lockText="1" noThreeD="1"/>
</file>

<file path=xl/ctrlProps/ctrlProp143.xml><?xml version="1.0" encoding="utf-8"?>
<formControlPr xmlns="http://schemas.microsoft.com/office/spreadsheetml/2009/9/main" objectType="CheckBox" fmlaLink="$AG$11" lockText="1" noThreeD="1"/>
</file>

<file path=xl/ctrlProps/ctrlProp144.xml><?xml version="1.0" encoding="utf-8"?>
<formControlPr xmlns="http://schemas.microsoft.com/office/spreadsheetml/2009/9/main" objectType="CheckBox" fmlaLink="$AG$14" lockText="1" noThreeD="1"/>
</file>

<file path=xl/ctrlProps/ctrlProp145.xml><?xml version="1.0" encoding="utf-8"?>
<formControlPr xmlns="http://schemas.microsoft.com/office/spreadsheetml/2009/9/main" objectType="CheckBox" fmlaLink="$AD$33" lockText="1" noThreeD="1"/>
</file>

<file path=xl/ctrlProps/ctrlProp146.xml><?xml version="1.0" encoding="utf-8"?>
<formControlPr xmlns="http://schemas.microsoft.com/office/spreadsheetml/2009/9/main" objectType="CheckBox" fmlaLink="$AD$36" lockText="1" noThreeD="1"/>
</file>

<file path=xl/ctrlProps/ctrlProp147.xml><?xml version="1.0" encoding="utf-8"?>
<formControlPr xmlns="http://schemas.microsoft.com/office/spreadsheetml/2009/9/main" objectType="CheckBox" fmlaLink="$AD$37" lockText="1" noThreeD="1"/>
</file>

<file path=xl/ctrlProps/ctrlProp148.xml><?xml version="1.0" encoding="utf-8"?>
<formControlPr xmlns="http://schemas.microsoft.com/office/spreadsheetml/2009/9/main" objectType="CheckBox" fmlaLink="$AG$12" lockText="1" noThreeD="1"/>
</file>

<file path=xl/ctrlProps/ctrlProp149.xml><?xml version="1.0" encoding="utf-8"?>
<formControlPr xmlns="http://schemas.microsoft.com/office/spreadsheetml/2009/9/main" objectType="CheckBox" fmlaLink="$AG$13" lockText="1" noThreeD="1"/>
</file>

<file path=xl/ctrlProps/ctrlProp15.xml><?xml version="1.0" encoding="utf-8"?>
<formControlPr xmlns="http://schemas.microsoft.com/office/spreadsheetml/2009/9/main" objectType="CheckBox" fmlaLink="$AD$36" lockText="1" noThreeD="1"/>
</file>

<file path=xl/ctrlProps/ctrlProp150.xml><?xml version="1.0" encoding="utf-8"?>
<formControlPr xmlns="http://schemas.microsoft.com/office/spreadsheetml/2009/9/main" objectType="CheckBox" fmlaLink="$AD$34" lockText="1" noThreeD="1"/>
</file>

<file path=xl/ctrlProps/ctrlProp151.xml><?xml version="1.0" encoding="utf-8"?>
<formControlPr xmlns="http://schemas.microsoft.com/office/spreadsheetml/2009/9/main" objectType="CheckBox" fmlaLink="$AD$35" lockText="1" noThreeD="1"/>
</file>

<file path=xl/ctrlProps/ctrlProp16.xml><?xml version="1.0" encoding="utf-8"?>
<formControlPr xmlns="http://schemas.microsoft.com/office/spreadsheetml/2009/9/main" objectType="CheckBox" fmlaLink="$AD$37" lockText="1" noThreeD="1"/>
</file>

<file path=xl/ctrlProps/ctrlProp17.xml><?xml version="1.0" encoding="utf-8"?>
<formControlPr xmlns="http://schemas.microsoft.com/office/spreadsheetml/2009/9/main" objectType="CheckBox" checked="Checked" fmlaLink="$AG$12" lockText="1" noThreeD="1"/>
</file>

<file path=xl/ctrlProps/ctrlProp18.xml><?xml version="1.0" encoding="utf-8"?>
<formControlPr xmlns="http://schemas.microsoft.com/office/spreadsheetml/2009/9/main" objectType="CheckBox" checked="Checked" fmlaLink="$AG$13" lockText="1" noThreeD="1"/>
</file>

<file path=xl/ctrlProps/ctrlProp19.xml><?xml version="1.0" encoding="utf-8"?>
<formControlPr xmlns="http://schemas.microsoft.com/office/spreadsheetml/2009/9/main" objectType="CheckBox" fmlaLink="$AD$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D$35" lockText="1" noThreeD="1"/>
</file>

<file path=xl/ctrlProps/ctrlProp21.xml><?xml version="1.0" encoding="utf-8"?>
<formControlPr xmlns="http://schemas.microsoft.com/office/spreadsheetml/2009/9/main" objectType="CheckBox" checked="Checked" fmlaLink="$AG$8" lockText="1" noThreeD="1"/>
</file>

<file path=xl/ctrlProps/ctrlProp22.xml><?xml version="1.0" encoding="utf-8"?>
<formControlPr xmlns="http://schemas.microsoft.com/office/spreadsheetml/2009/9/main" objectType="CheckBox" checked="Checked" fmlaLink="$AG$9" lockText="1" noThreeD="1"/>
</file>

<file path=xl/ctrlProps/ctrlProp23.xml><?xml version="1.0" encoding="utf-8"?>
<formControlPr xmlns="http://schemas.microsoft.com/office/spreadsheetml/2009/9/main" objectType="CheckBox" fmlaLink="$AG$15" lockText="1" noThreeD="1"/>
</file>

<file path=xl/ctrlProps/ctrlProp24.xml><?xml version="1.0" encoding="utf-8"?>
<formControlPr xmlns="http://schemas.microsoft.com/office/spreadsheetml/2009/9/main" objectType="CheckBox" fmlaLink="$AG$16" lockText="1" noThreeD="1"/>
</file>

<file path=xl/ctrlProps/ctrlProp25.xml><?xml version="1.0" encoding="utf-8"?>
<formControlPr xmlns="http://schemas.microsoft.com/office/spreadsheetml/2009/9/main" objectType="CheckBox" fmlaLink="$AG$17" lockText="1" noThreeD="1"/>
</file>

<file path=xl/ctrlProps/ctrlProp26.xml><?xml version="1.0" encoding="utf-8"?>
<formControlPr xmlns="http://schemas.microsoft.com/office/spreadsheetml/2009/9/main" objectType="CheckBox" fmlaLink="$AG$18" lockText="1" noThreeD="1"/>
</file>

<file path=xl/ctrlProps/ctrlProp27.xml><?xml version="1.0" encoding="utf-8"?>
<formControlPr xmlns="http://schemas.microsoft.com/office/spreadsheetml/2009/9/main" objectType="CheckBox" fmlaLink="$AG$19" lockText="1" noThreeD="1"/>
</file>

<file path=xl/ctrlProps/ctrlProp28.xml><?xml version="1.0" encoding="utf-8"?>
<formControlPr xmlns="http://schemas.microsoft.com/office/spreadsheetml/2009/9/main" objectType="CheckBox" checked="Checked" fmlaLink="$AG$10" lockText="1" noThreeD="1"/>
</file>

<file path=xl/ctrlProps/ctrlProp29.xml><?xml version="1.0" encoding="utf-8"?>
<formControlPr xmlns="http://schemas.microsoft.com/office/spreadsheetml/2009/9/main" objectType="CheckBox" checked="Checked" fmlaLink="$AG$1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G$14" lockText="1" noThreeD="1"/>
</file>

<file path=xl/ctrlProps/ctrlProp31.xml><?xml version="1.0" encoding="utf-8"?>
<formControlPr xmlns="http://schemas.microsoft.com/office/spreadsheetml/2009/9/main" objectType="CheckBox" checked="Checked" fmlaLink="$AG$12" lockText="1" noThreeD="1"/>
</file>

<file path=xl/ctrlProps/ctrlProp32.xml><?xml version="1.0" encoding="utf-8"?>
<formControlPr xmlns="http://schemas.microsoft.com/office/spreadsheetml/2009/9/main" objectType="CheckBox" checked="Checked" fmlaLink="$AG$13" lockText="1" noThreeD="1"/>
</file>

<file path=xl/ctrlProps/ctrlProp33.xml><?xml version="1.0" encoding="utf-8"?>
<formControlPr xmlns="http://schemas.microsoft.com/office/spreadsheetml/2009/9/main" objectType="CheckBox" fmlaLink="$AG$8" lockText="1" noThreeD="1"/>
</file>

<file path=xl/ctrlProps/ctrlProp34.xml><?xml version="1.0" encoding="utf-8"?>
<formControlPr xmlns="http://schemas.microsoft.com/office/spreadsheetml/2009/9/main" objectType="CheckBox" fmlaLink="$AG$9" lockText="1" noThreeD="1"/>
</file>

<file path=xl/ctrlProps/ctrlProp35.xml><?xml version="1.0" encoding="utf-8"?>
<formControlPr xmlns="http://schemas.microsoft.com/office/spreadsheetml/2009/9/main" objectType="CheckBox" fmlaLink="$AG$15" lockText="1" noThreeD="1"/>
</file>

<file path=xl/ctrlProps/ctrlProp36.xml><?xml version="1.0" encoding="utf-8"?>
<formControlPr xmlns="http://schemas.microsoft.com/office/spreadsheetml/2009/9/main" objectType="CheckBox" fmlaLink="$AG$16" lockText="1" noThreeD="1"/>
</file>

<file path=xl/ctrlProps/ctrlProp37.xml><?xml version="1.0" encoding="utf-8"?>
<formControlPr xmlns="http://schemas.microsoft.com/office/spreadsheetml/2009/9/main" objectType="CheckBox" fmlaLink="$AG$17" lockText="1" noThreeD="1"/>
</file>

<file path=xl/ctrlProps/ctrlProp38.xml><?xml version="1.0" encoding="utf-8"?>
<formControlPr xmlns="http://schemas.microsoft.com/office/spreadsheetml/2009/9/main" objectType="CheckBox" fmlaLink="$AG$18" lockText="1" noThreeD="1"/>
</file>

<file path=xl/ctrlProps/ctrlProp39.xml><?xml version="1.0" encoding="utf-8"?>
<formControlPr xmlns="http://schemas.microsoft.com/office/spreadsheetml/2009/9/main" objectType="CheckBox" fmlaLink="$AG$19" lockText="1" noThreeD="1"/>
</file>

<file path=xl/ctrlProps/ctrlProp4.xml><?xml version="1.0" encoding="utf-8"?>
<formControlPr xmlns="http://schemas.microsoft.com/office/spreadsheetml/2009/9/main" objectType="CheckBox" checked="Checked" fmlaLink="$AG$8" lockText="1" noThreeD="1"/>
</file>

<file path=xl/ctrlProps/ctrlProp40.xml><?xml version="1.0" encoding="utf-8"?>
<formControlPr xmlns="http://schemas.microsoft.com/office/spreadsheetml/2009/9/main" objectType="CheckBox" fmlaLink="$AG$10" lockText="1" noThreeD="1"/>
</file>

<file path=xl/ctrlProps/ctrlProp41.xml><?xml version="1.0" encoding="utf-8"?>
<formControlPr xmlns="http://schemas.microsoft.com/office/spreadsheetml/2009/9/main" objectType="CheckBox" fmlaLink="$AG$11" lockText="1" noThreeD="1"/>
</file>

<file path=xl/ctrlProps/ctrlProp42.xml><?xml version="1.0" encoding="utf-8"?>
<formControlPr xmlns="http://schemas.microsoft.com/office/spreadsheetml/2009/9/main" objectType="CheckBox" fmlaLink="$AG$14" lockText="1" noThreeD="1"/>
</file>

<file path=xl/ctrlProps/ctrlProp43.xml><?xml version="1.0" encoding="utf-8"?>
<formControlPr xmlns="http://schemas.microsoft.com/office/spreadsheetml/2009/9/main" objectType="CheckBox" fmlaLink="$AD$33" lockText="1" noThreeD="1"/>
</file>

<file path=xl/ctrlProps/ctrlProp44.xml><?xml version="1.0" encoding="utf-8"?>
<formControlPr xmlns="http://schemas.microsoft.com/office/spreadsheetml/2009/9/main" objectType="CheckBox" fmlaLink="$AD$36" lockText="1" noThreeD="1"/>
</file>

<file path=xl/ctrlProps/ctrlProp45.xml><?xml version="1.0" encoding="utf-8"?>
<formControlPr xmlns="http://schemas.microsoft.com/office/spreadsheetml/2009/9/main" objectType="CheckBox" fmlaLink="$AD$37" lockText="1" noThreeD="1"/>
</file>

<file path=xl/ctrlProps/ctrlProp46.xml><?xml version="1.0" encoding="utf-8"?>
<formControlPr xmlns="http://schemas.microsoft.com/office/spreadsheetml/2009/9/main" objectType="CheckBox" fmlaLink="$AG$12" lockText="1" noThreeD="1"/>
</file>

<file path=xl/ctrlProps/ctrlProp47.xml><?xml version="1.0" encoding="utf-8"?>
<formControlPr xmlns="http://schemas.microsoft.com/office/spreadsheetml/2009/9/main" objectType="CheckBox" fmlaLink="$AG$13" lockText="1" noThreeD="1"/>
</file>

<file path=xl/ctrlProps/ctrlProp48.xml><?xml version="1.0" encoding="utf-8"?>
<formControlPr xmlns="http://schemas.microsoft.com/office/spreadsheetml/2009/9/main" objectType="CheckBox" fmlaLink="$AD$34" lockText="1" noThreeD="1"/>
</file>

<file path=xl/ctrlProps/ctrlProp49.xml><?xml version="1.0" encoding="utf-8"?>
<formControlPr xmlns="http://schemas.microsoft.com/office/spreadsheetml/2009/9/main" objectType="CheckBox" fmlaLink="$AD$35" lockText="1" noThreeD="1"/>
</file>

<file path=xl/ctrlProps/ctrlProp5.xml><?xml version="1.0" encoding="utf-8"?>
<formControlPr xmlns="http://schemas.microsoft.com/office/spreadsheetml/2009/9/main" objectType="CheckBox" checked="Checked" fmlaLink="$AG$9" lockText="1" noThreeD="1"/>
</file>

<file path=xl/ctrlProps/ctrlProp50.xml><?xml version="1.0" encoding="utf-8"?>
<formControlPr xmlns="http://schemas.microsoft.com/office/spreadsheetml/2009/9/main" objectType="CheckBox" fmlaLink="$AG$8" lockText="1" noThreeD="1"/>
</file>

<file path=xl/ctrlProps/ctrlProp51.xml><?xml version="1.0" encoding="utf-8"?>
<formControlPr xmlns="http://schemas.microsoft.com/office/spreadsheetml/2009/9/main" objectType="CheckBox" fmlaLink="$AG$9" lockText="1" noThreeD="1"/>
</file>

<file path=xl/ctrlProps/ctrlProp52.xml><?xml version="1.0" encoding="utf-8"?>
<formControlPr xmlns="http://schemas.microsoft.com/office/spreadsheetml/2009/9/main" objectType="CheckBox" fmlaLink="$AG$15" lockText="1" noThreeD="1"/>
</file>

<file path=xl/ctrlProps/ctrlProp53.xml><?xml version="1.0" encoding="utf-8"?>
<formControlPr xmlns="http://schemas.microsoft.com/office/spreadsheetml/2009/9/main" objectType="CheckBox" fmlaLink="$AG$16" lockText="1" noThreeD="1"/>
</file>

<file path=xl/ctrlProps/ctrlProp54.xml><?xml version="1.0" encoding="utf-8"?>
<formControlPr xmlns="http://schemas.microsoft.com/office/spreadsheetml/2009/9/main" objectType="CheckBox" fmlaLink="$AG$17" lockText="1" noThreeD="1"/>
</file>

<file path=xl/ctrlProps/ctrlProp55.xml><?xml version="1.0" encoding="utf-8"?>
<formControlPr xmlns="http://schemas.microsoft.com/office/spreadsheetml/2009/9/main" objectType="CheckBox" fmlaLink="$AG$18" lockText="1" noThreeD="1"/>
</file>

<file path=xl/ctrlProps/ctrlProp56.xml><?xml version="1.0" encoding="utf-8"?>
<formControlPr xmlns="http://schemas.microsoft.com/office/spreadsheetml/2009/9/main" objectType="CheckBox" fmlaLink="$AG$19" lockText="1" noThreeD="1"/>
</file>

<file path=xl/ctrlProps/ctrlProp57.xml><?xml version="1.0" encoding="utf-8"?>
<formControlPr xmlns="http://schemas.microsoft.com/office/spreadsheetml/2009/9/main" objectType="CheckBox" fmlaLink="$AG$10" lockText="1" noThreeD="1"/>
</file>

<file path=xl/ctrlProps/ctrlProp58.xml><?xml version="1.0" encoding="utf-8"?>
<formControlPr xmlns="http://schemas.microsoft.com/office/spreadsheetml/2009/9/main" objectType="CheckBox" fmlaLink="$AG$11" lockText="1" noThreeD="1"/>
</file>

<file path=xl/ctrlProps/ctrlProp59.xml><?xml version="1.0" encoding="utf-8"?>
<formControlPr xmlns="http://schemas.microsoft.com/office/spreadsheetml/2009/9/main" objectType="CheckBox" fmlaLink="$AG$14" lockText="1" noThreeD="1"/>
</file>

<file path=xl/ctrlProps/ctrlProp6.xml><?xml version="1.0" encoding="utf-8"?>
<formControlPr xmlns="http://schemas.microsoft.com/office/spreadsheetml/2009/9/main" objectType="CheckBox" fmlaLink="$AG$15" lockText="1" noThreeD="1"/>
</file>

<file path=xl/ctrlProps/ctrlProp60.xml><?xml version="1.0" encoding="utf-8"?>
<formControlPr xmlns="http://schemas.microsoft.com/office/spreadsheetml/2009/9/main" objectType="CheckBox" fmlaLink="$AD$33" lockText="1" noThreeD="1"/>
</file>

<file path=xl/ctrlProps/ctrlProp61.xml><?xml version="1.0" encoding="utf-8"?>
<formControlPr xmlns="http://schemas.microsoft.com/office/spreadsheetml/2009/9/main" objectType="CheckBox" fmlaLink="$AD$36" lockText="1" noThreeD="1"/>
</file>

<file path=xl/ctrlProps/ctrlProp62.xml><?xml version="1.0" encoding="utf-8"?>
<formControlPr xmlns="http://schemas.microsoft.com/office/spreadsheetml/2009/9/main" objectType="CheckBox" fmlaLink="$AD$37" lockText="1" noThreeD="1"/>
</file>

<file path=xl/ctrlProps/ctrlProp63.xml><?xml version="1.0" encoding="utf-8"?>
<formControlPr xmlns="http://schemas.microsoft.com/office/spreadsheetml/2009/9/main" objectType="CheckBox" fmlaLink="$AG$12" lockText="1" noThreeD="1"/>
</file>

<file path=xl/ctrlProps/ctrlProp64.xml><?xml version="1.0" encoding="utf-8"?>
<formControlPr xmlns="http://schemas.microsoft.com/office/spreadsheetml/2009/9/main" objectType="CheckBox" fmlaLink="$AG$13" lockText="1" noThreeD="1"/>
</file>

<file path=xl/ctrlProps/ctrlProp65.xml><?xml version="1.0" encoding="utf-8"?>
<formControlPr xmlns="http://schemas.microsoft.com/office/spreadsheetml/2009/9/main" objectType="CheckBox" fmlaLink="$AD$34" lockText="1" noThreeD="1"/>
</file>

<file path=xl/ctrlProps/ctrlProp66.xml><?xml version="1.0" encoding="utf-8"?>
<formControlPr xmlns="http://schemas.microsoft.com/office/spreadsheetml/2009/9/main" objectType="CheckBox" fmlaLink="$AD$35" lockText="1" noThreeD="1"/>
</file>

<file path=xl/ctrlProps/ctrlProp67.xml><?xml version="1.0" encoding="utf-8"?>
<formControlPr xmlns="http://schemas.microsoft.com/office/spreadsheetml/2009/9/main" objectType="CheckBox" fmlaLink="$AG$8" lockText="1" noThreeD="1"/>
</file>

<file path=xl/ctrlProps/ctrlProp68.xml><?xml version="1.0" encoding="utf-8"?>
<formControlPr xmlns="http://schemas.microsoft.com/office/spreadsheetml/2009/9/main" objectType="CheckBox" fmlaLink="$AG$9" lockText="1" noThreeD="1"/>
</file>

<file path=xl/ctrlProps/ctrlProp69.xml><?xml version="1.0" encoding="utf-8"?>
<formControlPr xmlns="http://schemas.microsoft.com/office/spreadsheetml/2009/9/main" objectType="CheckBox" fmlaLink="$AG$15" lockText="1" noThreeD="1"/>
</file>

<file path=xl/ctrlProps/ctrlProp7.xml><?xml version="1.0" encoding="utf-8"?>
<formControlPr xmlns="http://schemas.microsoft.com/office/spreadsheetml/2009/9/main" objectType="CheckBox" fmlaLink="$AG$16" lockText="1" noThreeD="1"/>
</file>

<file path=xl/ctrlProps/ctrlProp70.xml><?xml version="1.0" encoding="utf-8"?>
<formControlPr xmlns="http://schemas.microsoft.com/office/spreadsheetml/2009/9/main" objectType="CheckBox" fmlaLink="$AG$16" lockText="1" noThreeD="1"/>
</file>

<file path=xl/ctrlProps/ctrlProp71.xml><?xml version="1.0" encoding="utf-8"?>
<formControlPr xmlns="http://schemas.microsoft.com/office/spreadsheetml/2009/9/main" objectType="CheckBox" fmlaLink="$AG$17" lockText="1" noThreeD="1"/>
</file>

<file path=xl/ctrlProps/ctrlProp72.xml><?xml version="1.0" encoding="utf-8"?>
<formControlPr xmlns="http://schemas.microsoft.com/office/spreadsheetml/2009/9/main" objectType="CheckBox" fmlaLink="$AG$18" lockText="1" noThreeD="1"/>
</file>

<file path=xl/ctrlProps/ctrlProp73.xml><?xml version="1.0" encoding="utf-8"?>
<formControlPr xmlns="http://schemas.microsoft.com/office/spreadsheetml/2009/9/main" objectType="CheckBox" fmlaLink="$AG$19" lockText="1" noThreeD="1"/>
</file>

<file path=xl/ctrlProps/ctrlProp74.xml><?xml version="1.0" encoding="utf-8"?>
<formControlPr xmlns="http://schemas.microsoft.com/office/spreadsheetml/2009/9/main" objectType="CheckBox" fmlaLink="$AG$10" lockText="1" noThreeD="1"/>
</file>

<file path=xl/ctrlProps/ctrlProp75.xml><?xml version="1.0" encoding="utf-8"?>
<formControlPr xmlns="http://schemas.microsoft.com/office/spreadsheetml/2009/9/main" objectType="CheckBox" fmlaLink="$AG$11" lockText="1" noThreeD="1"/>
</file>

<file path=xl/ctrlProps/ctrlProp76.xml><?xml version="1.0" encoding="utf-8"?>
<formControlPr xmlns="http://schemas.microsoft.com/office/spreadsheetml/2009/9/main" objectType="CheckBox" fmlaLink="$AG$14" lockText="1" noThreeD="1"/>
</file>

<file path=xl/ctrlProps/ctrlProp77.xml><?xml version="1.0" encoding="utf-8"?>
<formControlPr xmlns="http://schemas.microsoft.com/office/spreadsheetml/2009/9/main" objectType="CheckBox" fmlaLink="$AD$33" lockText="1" noThreeD="1"/>
</file>

<file path=xl/ctrlProps/ctrlProp78.xml><?xml version="1.0" encoding="utf-8"?>
<formControlPr xmlns="http://schemas.microsoft.com/office/spreadsheetml/2009/9/main" objectType="CheckBox" fmlaLink="$AD$36" lockText="1" noThreeD="1"/>
</file>

<file path=xl/ctrlProps/ctrlProp79.xml><?xml version="1.0" encoding="utf-8"?>
<formControlPr xmlns="http://schemas.microsoft.com/office/spreadsheetml/2009/9/main" objectType="CheckBox" fmlaLink="$AD$37" lockText="1" noThreeD="1"/>
</file>

<file path=xl/ctrlProps/ctrlProp8.xml><?xml version="1.0" encoding="utf-8"?>
<formControlPr xmlns="http://schemas.microsoft.com/office/spreadsheetml/2009/9/main" objectType="CheckBox" fmlaLink="$AG$17" lockText="1" noThreeD="1"/>
</file>

<file path=xl/ctrlProps/ctrlProp80.xml><?xml version="1.0" encoding="utf-8"?>
<formControlPr xmlns="http://schemas.microsoft.com/office/spreadsheetml/2009/9/main" objectType="CheckBox" fmlaLink="$AG$12" lockText="1" noThreeD="1"/>
</file>

<file path=xl/ctrlProps/ctrlProp81.xml><?xml version="1.0" encoding="utf-8"?>
<formControlPr xmlns="http://schemas.microsoft.com/office/spreadsheetml/2009/9/main" objectType="CheckBox" fmlaLink="$AG$13" lockText="1" noThreeD="1"/>
</file>

<file path=xl/ctrlProps/ctrlProp82.xml><?xml version="1.0" encoding="utf-8"?>
<formControlPr xmlns="http://schemas.microsoft.com/office/spreadsheetml/2009/9/main" objectType="CheckBox" fmlaLink="$AD$34" lockText="1" noThreeD="1"/>
</file>

<file path=xl/ctrlProps/ctrlProp83.xml><?xml version="1.0" encoding="utf-8"?>
<formControlPr xmlns="http://schemas.microsoft.com/office/spreadsheetml/2009/9/main" objectType="CheckBox" fmlaLink="$AD$35" lockText="1" noThreeD="1"/>
</file>

<file path=xl/ctrlProps/ctrlProp84.xml><?xml version="1.0" encoding="utf-8"?>
<formControlPr xmlns="http://schemas.microsoft.com/office/spreadsheetml/2009/9/main" objectType="CheckBox" checked="Checked" fmlaLink="$AG$8" lockText="1" noThreeD="1"/>
</file>

<file path=xl/ctrlProps/ctrlProp85.xml><?xml version="1.0" encoding="utf-8"?>
<formControlPr xmlns="http://schemas.microsoft.com/office/spreadsheetml/2009/9/main" objectType="CheckBox" checked="Checked" fmlaLink="$AG$9" lockText="1" noThreeD="1"/>
</file>

<file path=xl/ctrlProps/ctrlProp86.xml><?xml version="1.0" encoding="utf-8"?>
<formControlPr xmlns="http://schemas.microsoft.com/office/spreadsheetml/2009/9/main" objectType="CheckBox" checked="Checked" fmlaLink="$AG$15" lockText="1" noThreeD="1"/>
</file>

<file path=xl/ctrlProps/ctrlProp87.xml><?xml version="1.0" encoding="utf-8"?>
<formControlPr xmlns="http://schemas.microsoft.com/office/spreadsheetml/2009/9/main" objectType="CheckBox" fmlaLink="$AG$16" lockText="1" noThreeD="1"/>
</file>

<file path=xl/ctrlProps/ctrlProp88.xml><?xml version="1.0" encoding="utf-8"?>
<formControlPr xmlns="http://schemas.microsoft.com/office/spreadsheetml/2009/9/main" objectType="CheckBox" fmlaLink="$AG$17" lockText="1" noThreeD="1"/>
</file>

<file path=xl/ctrlProps/ctrlProp89.xml><?xml version="1.0" encoding="utf-8"?>
<formControlPr xmlns="http://schemas.microsoft.com/office/spreadsheetml/2009/9/main" objectType="CheckBox" fmlaLink="$AG$18" lockText="1" noThreeD="1"/>
</file>

<file path=xl/ctrlProps/ctrlProp9.xml><?xml version="1.0" encoding="utf-8"?>
<formControlPr xmlns="http://schemas.microsoft.com/office/spreadsheetml/2009/9/main" objectType="CheckBox" fmlaLink="$AG$18" lockText="1" noThreeD="1"/>
</file>

<file path=xl/ctrlProps/ctrlProp90.xml><?xml version="1.0" encoding="utf-8"?>
<formControlPr xmlns="http://schemas.microsoft.com/office/spreadsheetml/2009/9/main" objectType="CheckBox" fmlaLink="$AG$19" lockText="1" noThreeD="1"/>
</file>

<file path=xl/ctrlProps/ctrlProp91.xml><?xml version="1.0" encoding="utf-8"?>
<formControlPr xmlns="http://schemas.microsoft.com/office/spreadsheetml/2009/9/main" objectType="CheckBox" checked="Checked" fmlaLink="$AG$10" lockText="1" noThreeD="1"/>
</file>

<file path=xl/ctrlProps/ctrlProp92.xml><?xml version="1.0" encoding="utf-8"?>
<formControlPr xmlns="http://schemas.microsoft.com/office/spreadsheetml/2009/9/main" objectType="CheckBox" checked="Checked" fmlaLink="$AG$11" lockText="1" noThreeD="1"/>
</file>

<file path=xl/ctrlProps/ctrlProp93.xml><?xml version="1.0" encoding="utf-8"?>
<formControlPr xmlns="http://schemas.microsoft.com/office/spreadsheetml/2009/9/main" objectType="CheckBox" checked="Checked" fmlaLink="$AG$14" lockText="1" noThreeD="1"/>
</file>

<file path=xl/ctrlProps/ctrlProp94.xml><?xml version="1.0" encoding="utf-8"?>
<formControlPr xmlns="http://schemas.microsoft.com/office/spreadsheetml/2009/9/main" objectType="CheckBox" fmlaLink="$AD$33" lockText="1" noThreeD="1"/>
</file>

<file path=xl/ctrlProps/ctrlProp95.xml><?xml version="1.0" encoding="utf-8"?>
<formControlPr xmlns="http://schemas.microsoft.com/office/spreadsheetml/2009/9/main" objectType="CheckBox" fmlaLink="$AD$36" lockText="1" noThreeD="1"/>
</file>

<file path=xl/ctrlProps/ctrlProp96.xml><?xml version="1.0" encoding="utf-8"?>
<formControlPr xmlns="http://schemas.microsoft.com/office/spreadsheetml/2009/9/main" objectType="CheckBox" fmlaLink="$AD$37" lockText="1" noThreeD="1"/>
</file>

<file path=xl/ctrlProps/ctrlProp97.xml><?xml version="1.0" encoding="utf-8"?>
<formControlPr xmlns="http://schemas.microsoft.com/office/spreadsheetml/2009/9/main" objectType="CheckBox" checked="Checked" fmlaLink="$AG$12" lockText="1" noThreeD="1"/>
</file>

<file path=xl/ctrlProps/ctrlProp98.xml><?xml version="1.0" encoding="utf-8"?>
<formControlPr xmlns="http://schemas.microsoft.com/office/spreadsheetml/2009/9/main" objectType="CheckBox" checked="Checked" fmlaLink="$AG$13" lockText="1" noThreeD="1"/>
</file>

<file path=xl/ctrlProps/ctrlProp99.xml><?xml version="1.0" encoding="utf-8"?>
<formControlPr xmlns="http://schemas.microsoft.com/office/spreadsheetml/2009/9/main" objectType="CheckBox" fmlaLink="$AD$34" lockText="1" noThreeD="1"/>
</file>

<file path=xl/drawings/_rels/drawing10.xml.rels>&#65279;<?xml version="1.0" encoding="utf-8" standalone="yes"?>
<Relationships xmlns="http://schemas.openxmlformats.org/package/2006/relationships">
  <Relationship Id="rId1" Type="http://schemas.openxmlformats.org/officeDocument/2006/relationships/image" Target="../media/image3.emf" />
</Relationships>
</file>

<file path=xl/drawings/_rels/drawing2.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3.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4.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5.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6.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7.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8.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9.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xdr:colOff>
          <xdr:row>15</xdr:row>
          <xdr:rowOff>83820</xdr:rowOff>
        </xdr:from>
        <xdr:to>
          <xdr:col>26</xdr:col>
          <xdr:colOff>60960</xdr:colOff>
          <xdr:row>15</xdr:row>
          <xdr:rowOff>297180</xdr:rowOff>
        </xdr:to>
        <xdr:sp macro="" textlink="">
          <xdr:nvSpPr>
            <xdr:cNvPr id="94214" name="Option Button 6" hidden="1">
              <a:extLst>
                <a:ext uri="{63B3BB69-23CF-44E3-9099-C40C66FF867C}">
                  <a14:compatExt spid="_x0000_s94214"/>
                </a:ext>
                <a:ext uri="{FF2B5EF4-FFF2-40B4-BE49-F238E27FC236}">
                  <a16:creationId xmlns:a16="http://schemas.microsoft.com/office/drawing/2014/main" id="{00000000-0008-0000-01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16</xdr:row>
          <xdr:rowOff>83820</xdr:rowOff>
        </xdr:from>
        <xdr:to>
          <xdr:col>26</xdr:col>
          <xdr:colOff>60960</xdr:colOff>
          <xdr:row>16</xdr:row>
          <xdr:rowOff>297180</xdr:rowOff>
        </xdr:to>
        <xdr:sp macro="" textlink="">
          <xdr:nvSpPr>
            <xdr:cNvPr id="94215" name="Option Button 7" hidden="1">
              <a:extLst>
                <a:ext uri="{63B3BB69-23CF-44E3-9099-C40C66FF867C}">
                  <a14:compatExt spid="_x0000_s94215"/>
                </a:ext>
                <a:ext uri="{FF2B5EF4-FFF2-40B4-BE49-F238E27FC236}">
                  <a16:creationId xmlns:a16="http://schemas.microsoft.com/office/drawing/2014/main" id="{00000000-0008-0000-01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17</xdr:row>
          <xdr:rowOff>83820</xdr:rowOff>
        </xdr:from>
        <xdr:to>
          <xdr:col>26</xdr:col>
          <xdr:colOff>60960</xdr:colOff>
          <xdr:row>17</xdr:row>
          <xdr:rowOff>297180</xdr:rowOff>
        </xdr:to>
        <xdr:sp macro="" textlink="">
          <xdr:nvSpPr>
            <xdr:cNvPr id="94216" name="Option Button 8" hidden="1">
              <a:extLst>
                <a:ext uri="{63B3BB69-23CF-44E3-9099-C40C66FF867C}">
                  <a14:compatExt spid="_x0000_s94216"/>
                </a:ext>
                <a:ext uri="{FF2B5EF4-FFF2-40B4-BE49-F238E27FC236}">
                  <a16:creationId xmlns:a16="http://schemas.microsoft.com/office/drawing/2014/main" id="{00000000-0008-0000-01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247650</xdr:colOff>
      <xdr:row>34</xdr:row>
      <xdr:rowOff>9525</xdr:rowOff>
    </xdr:from>
    <xdr:to>
      <xdr:col>24</xdr:col>
      <xdr:colOff>85725</xdr:colOff>
      <xdr:row>43</xdr:row>
      <xdr:rowOff>161925</xdr:rowOff>
    </xdr:to>
    <xdr:pic>
      <xdr:nvPicPr>
        <xdr:cNvPr id="107725" name="Picture 4">
          <a:extLst>
            <a:ext uri="{FF2B5EF4-FFF2-40B4-BE49-F238E27FC236}">
              <a16:creationId xmlns:a16="http://schemas.microsoft.com/office/drawing/2014/main" id="{00000000-0008-0000-0B00-0000CDA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0" y="8315325"/>
          <a:ext cx="5086350" cy="2381250"/>
        </a:xfrm>
        <a:prstGeom prst="rect">
          <a:avLst/>
        </a:prstGeom>
        <a:noFill/>
        <a:ln w="9525">
          <a:noFill/>
          <a:miter lim="800000"/>
          <a:headEnd/>
          <a:tailEnd/>
        </a:ln>
      </xdr:spPr>
    </xdr:pic>
    <xdr:clientData/>
  </xdr:twoCellAnchor>
  <xdr:twoCellAnchor>
    <xdr:from>
      <xdr:col>20</xdr:col>
      <xdr:colOff>273340</xdr:colOff>
      <xdr:row>4</xdr:row>
      <xdr:rowOff>4271</xdr:rowOff>
    </xdr:from>
    <xdr:to>
      <xdr:col>27</xdr:col>
      <xdr:colOff>200025</xdr:colOff>
      <xdr:row>9</xdr:row>
      <xdr:rowOff>200025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bwMode="auto">
        <a:xfrm>
          <a:off x="5597815" y="880571"/>
          <a:ext cx="1860260" cy="143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1)</a:t>
          </a:r>
          <a:r>
            <a:rPr kumimoji="1" lang="ja-JP" altLang="en-US" sz="1000"/>
            <a:t>土間床等面積の算出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a:t>
          </a:r>
          <a:r>
            <a:rPr kumimoji="1" lang="en-US" altLang="ja-JP" sz="1000"/>
            <a:t>×</a:t>
          </a:r>
          <a:r>
            <a:rPr kumimoji="1" lang="ja-JP" altLang="en-US" sz="1000"/>
            <a:t>Ｌ２</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Ｌ３</a:t>
          </a:r>
          <a:r>
            <a:rPr kumimoji="1" lang="en-US" altLang="ja-JP" sz="1000"/>
            <a:t>×</a:t>
          </a:r>
          <a:r>
            <a:rPr kumimoji="1" lang="ja-JP" altLang="en-US" sz="1000"/>
            <a:t>Ｌ４</a:t>
          </a:r>
          <a:endParaRPr kumimoji="1" lang="en-US" altLang="ja-JP" sz="1000"/>
        </a:p>
        <a:p>
          <a:pPr>
            <a:lnSpc>
              <a:spcPts val="1100"/>
            </a:lnSpc>
          </a:pPr>
          <a:r>
            <a:rPr kumimoji="1" lang="ja-JP" altLang="en-US" sz="1000"/>
            <a:t>　を求め入力する。</a:t>
          </a:r>
        </a:p>
      </xdr:txBody>
    </xdr:sp>
    <xdr:clientData/>
  </xdr:twoCellAnchor>
  <xdr:twoCellAnchor>
    <xdr:from>
      <xdr:col>21</xdr:col>
      <xdr:colOff>10602</xdr:colOff>
      <xdr:row>9</xdr:row>
      <xdr:rowOff>4272</xdr:rowOff>
    </xdr:from>
    <xdr:to>
      <xdr:col>28</xdr:col>
      <xdr:colOff>47625</xdr:colOff>
      <xdr:row>15</xdr:row>
      <xdr:rowOff>104775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bwMode="auto">
        <a:xfrm>
          <a:off x="5611302" y="2118822"/>
          <a:ext cx="1970598" cy="158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3)</a:t>
          </a:r>
          <a:r>
            <a:rPr kumimoji="1" lang="ja-JP" altLang="en-US" sz="1000"/>
            <a:t>基礎外周長さＬの算出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（Ｌ１＋Ｌ２）</a:t>
          </a:r>
          <a:r>
            <a:rPr kumimoji="1" lang="en-US" altLang="ja-JP" sz="1000"/>
            <a:t>×</a:t>
          </a:r>
          <a:r>
            <a:rPr kumimoji="1" lang="ja-JP" altLang="en-US" sz="1000"/>
            <a:t>２＝Ｌ</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・温度差係数</a:t>
          </a:r>
          <a:r>
            <a:rPr kumimoji="1" lang="en-US" altLang="ja-JP" sz="1000"/>
            <a:t>0.7</a:t>
          </a:r>
          <a:r>
            <a:rPr kumimoji="1" lang="ja-JP" altLang="en-US" sz="1000"/>
            <a:t>の部分</a:t>
          </a:r>
          <a:endParaRPr kumimoji="1" lang="en-US" altLang="ja-JP" sz="1000"/>
        </a:p>
        <a:p>
          <a:pPr>
            <a:lnSpc>
              <a:spcPts val="1100"/>
            </a:lnSpc>
          </a:pPr>
          <a:r>
            <a:rPr kumimoji="1" lang="ja-JP" altLang="en-US" sz="1000"/>
            <a:t>　　　Ｌ３＋Ｌ４</a:t>
          </a:r>
          <a:r>
            <a:rPr kumimoji="1" lang="en-US" altLang="ja-JP" sz="1000"/>
            <a:t>×</a:t>
          </a:r>
          <a:r>
            <a:rPr kumimoji="1" lang="ja-JP" altLang="en-US" sz="1000"/>
            <a:t>２＝Ｌ</a:t>
          </a:r>
          <a:endParaRPr kumimoji="1" lang="en-US" altLang="ja-JP" sz="1000"/>
        </a:p>
        <a:p>
          <a:pPr>
            <a:lnSpc>
              <a:spcPts val="1100"/>
            </a:lnSpc>
          </a:pPr>
          <a:r>
            <a:rPr kumimoji="1" lang="ja-JP" altLang="en-US" sz="1000"/>
            <a:t>　　・温度差係数</a:t>
          </a:r>
          <a:r>
            <a:rPr kumimoji="1" lang="en-US" altLang="ja-JP" sz="1000"/>
            <a:t>1.0</a:t>
          </a:r>
          <a:r>
            <a:rPr kumimoji="1" lang="ja-JP" altLang="en-US" sz="1000"/>
            <a:t>の部分</a:t>
          </a:r>
          <a:endParaRPr kumimoji="1" lang="en-US" altLang="ja-JP" sz="1000"/>
        </a:p>
        <a:p>
          <a:pPr>
            <a:lnSpc>
              <a:spcPts val="1100"/>
            </a:lnSpc>
          </a:pPr>
          <a:r>
            <a:rPr kumimoji="1" lang="ja-JP" altLang="en-US" sz="1000">
              <a:solidFill>
                <a:schemeClr val="dk1"/>
              </a:solidFill>
              <a:latin typeface="+mn-lt"/>
              <a:ea typeface="+mn-ea"/>
              <a:cs typeface="+mn-cs"/>
            </a:rPr>
            <a:t>　　　</a:t>
          </a:r>
          <a:r>
            <a:rPr kumimoji="1" lang="ja-JP" altLang="ja-JP" sz="1000">
              <a:solidFill>
                <a:schemeClr val="dk1"/>
              </a:solidFill>
              <a:latin typeface="+mn-lt"/>
              <a:ea typeface="+mn-ea"/>
              <a:cs typeface="+mn-cs"/>
            </a:rPr>
            <a:t>Ｌ３＝Ｌ</a:t>
          </a:r>
          <a:endParaRPr kumimoji="1" lang="en-US" altLang="ja-JP" sz="1000"/>
        </a:p>
        <a:p>
          <a:pPr>
            <a:lnSpc>
              <a:spcPts val="1100"/>
            </a:lnSpc>
          </a:pPr>
          <a:r>
            <a:rPr kumimoji="1" lang="ja-JP" altLang="en-US" sz="1000"/>
            <a:t>　として入力する。</a:t>
          </a:r>
        </a:p>
      </xdr:txBody>
    </xdr:sp>
    <xdr:clientData/>
  </xdr:twoCellAnchor>
  <xdr:twoCellAnchor>
    <xdr:from>
      <xdr:col>10</xdr:col>
      <xdr:colOff>0</xdr:colOff>
      <xdr:row>2</xdr:row>
      <xdr:rowOff>180975</xdr:rowOff>
    </xdr:from>
    <xdr:to>
      <xdr:col>20</xdr:col>
      <xdr:colOff>142875</xdr:colOff>
      <xdr:row>11</xdr:row>
      <xdr:rowOff>219075</xdr:rowOff>
    </xdr:to>
    <xdr:grpSp>
      <xdr:nvGrpSpPr>
        <xdr:cNvPr id="107728" name="グループ化 32">
          <a:extLst>
            <a:ext uri="{FF2B5EF4-FFF2-40B4-BE49-F238E27FC236}">
              <a16:creationId xmlns:a16="http://schemas.microsoft.com/office/drawing/2014/main" id="{00000000-0008-0000-0B00-0000D0A40100}"/>
            </a:ext>
          </a:extLst>
        </xdr:cNvPr>
        <xdr:cNvGrpSpPr>
          <a:grpSpLocks/>
        </xdr:cNvGrpSpPr>
      </xdr:nvGrpSpPr>
      <xdr:grpSpPr bwMode="auto">
        <a:xfrm>
          <a:off x="2377440" y="607695"/>
          <a:ext cx="2657475" cy="2301240"/>
          <a:chOff x="159196" y="7833807"/>
          <a:chExt cx="3651576" cy="2925781"/>
        </a:xfrm>
      </xdr:grpSpPr>
      <xdr:sp macro="" textlink="">
        <xdr:nvSpPr>
          <xdr:cNvPr id="6" name="正方形/長方形 5">
            <a:extLst>
              <a:ext uri="{FF2B5EF4-FFF2-40B4-BE49-F238E27FC236}">
                <a16:creationId xmlns:a16="http://schemas.microsoft.com/office/drawing/2014/main" id="{00000000-0008-0000-0B00-000006000000}"/>
              </a:ext>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107730" name="グループ化 31">
            <a:extLst>
              <a:ext uri="{FF2B5EF4-FFF2-40B4-BE49-F238E27FC236}">
                <a16:creationId xmlns:a16="http://schemas.microsoft.com/office/drawing/2014/main" id="{00000000-0008-0000-0B00-0000D2A40100}"/>
              </a:ext>
            </a:extLst>
          </xdr:cNvPr>
          <xdr:cNvGrpSpPr>
            <a:grpSpLocks/>
          </xdr:cNvGrpSpPr>
        </xdr:nvGrpSpPr>
        <xdr:grpSpPr bwMode="auto">
          <a:xfrm>
            <a:off x="159196" y="7833807"/>
            <a:ext cx="3651576" cy="2925781"/>
            <a:chOff x="158330" y="7875352"/>
            <a:chExt cx="3704371" cy="2942000"/>
          </a:xfrm>
        </xdr:grpSpPr>
        <xdr:sp macro="" textlink="">
          <xdr:nvSpPr>
            <xdr:cNvPr id="8" name="正方形/長方形 7">
              <a:extLst>
                <a:ext uri="{FF2B5EF4-FFF2-40B4-BE49-F238E27FC236}">
                  <a16:creationId xmlns:a16="http://schemas.microsoft.com/office/drawing/2014/main" id="{00000000-0008-0000-0B00-000008000000}"/>
                </a:ext>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B00-000009000000}"/>
                </a:ext>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B00-00000A000000}"/>
                </a:ext>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正方形/長方形 10">
              <a:extLst>
                <a:ext uri="{FF2B5EF4-FFF2-40B4-BE49-F238E27FC236}">
                  <a16:creationId xmlns:a16="http://schemas.microsoft.com/office/drawing/2014/main" id="{00000000-0008-0000-0B00-00000B000000}"/>
                </a:ext>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正方形/長方形 11">
              <a:extLst>
                <a:ext uri="{FF2B5EF4-FFF2-40B4-BE49-F238E27FC236}">
                  <a16:creationId xmlns:a16="http://schemas.microsoft.com/office/drawing/2014/main" id="{00000000-0008-0000-0B00-00000C000000}"/>
                </a:ext>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正方形/長方形 12">
              <a:extLst>
                <a:ext uri="{FF2B5EF4-FFF2-40B4-BE49-F238E27FC236}">
                  <a16:creationId xmlns:a16="http://schemas.microsoft.com/office/drawing/2014/main" id="{00000000-0008-0000-0B00-00000D000000}"/>
                </a:ext>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4" name="直線コネクタ 13">
              <a:extLst>
                <a:ext uri="{FF2B5EF4-FFF2-40B4-BE49-F238E27FC236}">
                  <a16:creationId xmlns:a16="http://schemas.microsoft.com/office/drawing/2014/main" id="{00000000-0008-0000-0B00-00000E000000}"/>
                </a:ext>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B00-00000F000000}"/>
                </a:ext>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B00-000010000000}"/>
                </a:ext>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B00-000011000000}"/>
                </a:ext>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B00-000012000000}"/>
                </a:ext>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B00-000013000000}"/>
                </a:ext>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B00-000014000000}"/>
                </a:ext>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B00-000015000000}"/>
                </a:ext>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B00-000016000000}"/>
                </a:ext>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B00-000017000000}"/>
                </a:ext>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B00-000018000000}"/>
                </a:ext>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47">
              <a:extLst>
                <a:ext uri="{FF2B5EF4-FFF2-40B4-BE49-F238E27FC236}">
                  <a16:creationId xmlns:a16="http://schemas.microsoft.com/office/drawing/2014/main" id="{00000000-0008-0000-0B00-000019000000}"/>
                </a:ext>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6" name="テキスト ボックス 48">
              <a:extLst>
                <a:ext uri="{FF2B5EF4-FFF2-40B4-BE49-F238E27FC236}">
                  <a16:creationId xmlns:a16="http://schemas.microsoft.com/office/drawing/2014/main" id="{00000000-0008-0000-0B00-00001A000000}"/>
                </a:ext>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7" name="テキスト ボックス 49">
              <a:extLst>
                <a:ext uri="{FF2B5EF4-FFF2-40B4-BE49-F238E27FC236}">
                  <a16:creationId xmlns:a16="http://schemas.microsoft.com/office/drawing/2014/main" id="{00000000-0008-0000-0B00-00001B000000}"/>
                </a:ext>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8" name="テキスト ボックス 50">
              <a:extLst>
                <a:ext uri="{FF2B5EF4-FFF2-40B4-BE49-F238E27FC236}">
                  <a16:creationId xmlns:a16="http://schemas.microsoft.com/office/drawing/2014/main" id="{00000000-0008-0000-0B00-00001C000000}"/>
                </a:ext>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9" name="直線矢印コネクタ 28">
              <a:extLst>
                <a:ext uri="{FF2B5EF4-FFF2-40B4-BE49-F238E27FC236}">
                  <a16:creationId xmlns:a16="http://schemas.microsoft.com/office/drawing/2014/main" id="{00000000-0008-0000-0B00-00001D000000}"/>
                </a:ext>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B00-00001E000000}"/>
                </a:ext>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85131" name="グループ化 4">
          <a:extLst>
            <a:ext uri="{FF2B5EF4-FFF2-40B4-BE49-F238E27FC236}">
              <a16:creationId xmlns:a16="http://schemas.microsoft.com/office/drawing/2014/main" id="{00000000-0008-0000-0200-00008B4C0100}"/>
            </a:ext>
          </a:extLst>
        </xdr:cNvPr>
        <xdr:cNvGrpSpPr>
          <a:grpSpLocks/>
        </xdr:cNvGrpSpPr>
      </xdr:nvGrpSpPr>
      <xdr:grpSpPr bwMode="auto">
        <a:xfrm>
          <a:off x="413385" y="6055995"/>
          <a:ext cx="1466850" cy="3430905"/>
          <a:chOff x="381000" y="5495925"/>
          <a:chExt cx="1609725" cy="2628900"/>
        </a:xfrm>
      </xdr:grpSpPr>
      <xdr:pic>
        <xdr:nvPicPr>
          <xdr:cNvPr id="85133" name="Picture 1">
            <a:extLst>
              <a:ext uri="{FF2B5EF4-FFF2-40B4-BE49-F238E27FC236}">
                <a16:creationId xmlns:a16="http://schemas.microsoft.com/office/drawing/2014/main" id="{00000000-0008-0000-0200-00008D4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11206</xdr:colOff>
      <xdr:row>28</xdr:row>
      <xdr:rowOff>44824</xdr:rowOff>
    </xdr:from>
    <xdr:to>
      <xdr:col>53</xdr:col>
      <xdr:colOff>31939</xdr:colOff>
      <xdr:row>37</xdr:row>
      <xdr:rowOff>159124</xdr:rowOff>
    </xdr:to>
    <xdr:pic>
      <xdr:nvPicPr>
        <xdr:cNvPr id="85132" name="図 5">
          <a:extLst>
            <a:ext uri="{FF2B5EF4-FFF2-40B4-BE49-F238E27FC236}">
              <a16:creationId xmlns:a16="http://schemas.microsoft.com/office/drawing/2014/main" id="{00000000-0008-0000-0200-00008C4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58500" y="7631206"/>
          <a:ext cx="539003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2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2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2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2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2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2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85018" name="Check Box 26" hidden="1">
              <a:extLst>
                <a:ext uri="{63B3BB69-23CF-44E3-9099-C40C66FF867C}">
                  <a14:compatExt spid="_x0000_s85018"/>
                </a:ext>
                <a:ext uri="{FF2B5EF4-FFF2-40B4-BE49-F238E27FC236}">
                  <a16:creationId xmlns:a16="http://schemas.microsoft.com/office/drawing/2014/main" id="{00000000-0008-0000-0200-00001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85019" name="Check Box 27" hidden="1">
              <a:extLst>
                <a:ext uri="{63B3BB69-23CF-44E3-9099-C40C66FF867C}">
                  <a14:compatExt spid="_x0000_s85019"/>
                </a:ext>
                <a:ext uri="{FF2B5EF4-FFF2-40B4-BE49-F238E27FC236}">
                  <a16:creationId xmlns:a16="http://schemas.microsoft.com/office/drawing/2014/main" id="{00000000-0008-0000-0200-00001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85020" name="Check Box 28" hidden="1">
              <a:extLst>
                <a:ext uri="{63B3BB69-23CF-44E3-9099-C40C66FF867C}">
                  <a14:compatExt spid="_x0000_s85020"/>
                </a:ext>
                <a:ext uri="{FF2B5EF4-FFF2-40B4-BE49-F238E27FC236}">
                  <a16:creationId xmlns:a16="http://schemas.microsoft.com/office/drawing/2014/main" id="{00000000-0008-0000-0200-00001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85039" name="Check Box 47" hidden="1">
              <a:extLst>
                <a:ext uri="{63B3BB69-23CF-44E3-9099-C40C66FF867C}">
                  <a14:compatExt spid="_x0000_s85039"/>
                </a:ext>
                <a:ext uri="{FF2B5EF4-FFF2-40B4-BE49-F238E27FC236}">
                  <a16:creationId xmlns:a16="http://schemas.microsoft.com/office/drawing/2014/main" id="{00000000-0008-0000-0200-00002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85040" name="Check Box 48" hidden="1">
              <a:extLst>
                <a:ext uri="{63B3BB69-23CF-44E3-9099-C40C66FF867C}">
                  <a14:compatExt spid="_x0000_s85040"/>
                </a:ext>
                <a:ext uri="{FF2B5EF4-FFF2-40B4-BE49-F238E27FC236}">
                  <a16:creationId xmlns:a16="http://schemas.microsoft.com/office/drawing/2014/main" id="{00000000-0008-0000-0200-00003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85041" name="Check Box 49" hidden="1">
              <a:extLst>
                <a:ext uri="{63B3BB69-23CF-44E3-9099-C40C66FF867C}">
                  <a14:compatExt spid="_x0000_s85041"/>
                </a:ext>
                <a:ext uri="{FF2B5EF4-FFF2-40B4-BE49-F238E27FC236}">
                  <a16:creationId xmlns:a16="http://schemas.microsoft.com/office/drawing/2014/main" id="{00000000-0008-0000-0200-00003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85054" name="Check Box 62" hidden="1">
              <a:extLst>
                <a:ext uri="{63B3BB69-23CF-44E3-9099-C40C66FF867C}">
                  <a14:compatExt spid="_x0000_s85054"/>
                </a:ext>
                <a:ext uri="{FF2B5EF4-FFF2-40B4-BE49-F238E27FC236}">
                  <a16:creationId xmlns:a16="http://schemas.microsoft.com/office/drawing/2014/main" id="{00000000-0008-0000-0200-00003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85058" name="Check Box 66" hidden="1">
              <a:extLst>
                <a:ext uri="{63B3BB69-23CF-44E3-9099-C40C66FF867C}">
                  <a14:compatExt spid="_x0000_s85058"/>
                </a:ext>
                <a:ext uri="{FF2B5EF4-FFF2-40B4-BE49-F238E27FC236}">
                  <a16:creationId xmlns:a16="http://schemas.microsoft.com/office/drawing/2014/main" id="{00000000-0008-0000-0200-00004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85059" name="Check Box 67" hidden="1">
              <a:extLst>
                <a:ext uri="{63B3BB69-23CF-44E3-9099-C40C66FF867C}">
                  <a14:compatExt spid="_x0000_s85059"/>
                </a:ext>
                <a:ext uri="{FF2B5EF4-FFF2-40B4-BE49-F238E27FC236}">
                  <a16:creationId xmlns:a16="http://schemas.microsoft.com/office/drawing/2014/main" id="{00000000-0008-0000-0200-00004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85060" name="Check Box 68" hidden="1">
              <a:extLst>
                <a:ext uri="{63B3BB69-23CF-44E3-9099-C40C66FF867C}">
                  <a14:compatExt spid="_x0000_s85060"/>
                </a:ext>
                <a:ext uri="{FF2B5EF4-FFF2-40B4-BE49-F238E27FC236}">
                  <a16:creationId xmlns:a16="http://schemas.microsoft.com/office/drawing/2014/main" id="{00000000-0008-0000-0200-00004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85061" name="Check Box 69" hidden="1">
              <a:extLst>
                <a:ext uri="{63B3BB69-23CF-44E3-9099-C40C66FF867C}">
                  <a14:compatExt spid="_x0000_s85061"/>
                </a:ext>
                <a:ext uri="{FF2B5EF4-FFF2-40B4-BE49-F238E27FC236}">
                  <a16:creationId xmlns:a16="http://schemas.microsoft.com/office/drawing/2014/main" id="{00000000-0008-0000-0200-00004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85062" name="Check Box 70" hidden="1">
              <a:extLst>
                <a:ext uri="{63B3BB69-23CF-44E3-9099-C40C66FF867C}">
                  <a14:compatExt spid="_x0000_s85062"/>
                </a:ext>
                <a:ext uri="{FF2B5EF4-FFF2-40B4-BE49-F238E27FC236}">
                  <a16:creationId xmlns:a16="http://schemas.microsoft.com/office/drawing/2014/main" id="{00000000-0008-0000-0200-00004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85063" name="Check Box 71" hidden="1">
              <a:extLst>
                <a:ext uri="{63B3BB69-23CF-44E3-9099-C40C66FF867C}">
                  <a14:compatExt spid="_x0000_s85063"/>
                </a:ext>
                <a:ext uri="{FF2B5EF4-FFF2-40B4-BE49-F238E27FC236}">
                  <a16:creationId xmlns:a16="http://schemas.microsoft.com/office/drawing/2014/main" id="{00000000-0008-0000-0200-00004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85064" name="Check Box 72" hidden="1">
              <a:extLst>
                <a:ext uri="{63B3BB69-23CF-44E3-9099-C40C66FF867C}">
                  <a14:compatExt spid="_x0000_s85064"/>
                </a:ext>
                <a:ext uri="{FF2B5EF4-FFF2-40B4-BE49-F238E27FC236}">
                  <a16:creationId xmlns:a16="http://schemas.microsoft.com/office/drawing/2014/main" id="{00000000-0008-0000-0200-00004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85065" name="Check Box 73" hidden="1">
              <a:extLst>
                <a:ext uri="{63B3BB69-23CF-44E3-9099-C40C66FF867C}">
                  <a14:compatExt spid="_x0000_s85065"/>
                </a:ext>
                <a:ext uri="{FF2B5EF4-FFF2-40B4-BE49-F238E27FC236}">
                  <a16:creationId xmlns:a16="http://schemas.microsoft.com/office/drawing/2014/main" id="{00000000-0008-0000-0200-00004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85066" name="Check Box 74" hidden="1">
              <a:extLst>
                <a:ext uri="{63B3BB69-23CF-44E3-9099-C40C66FF867C}">
                  <a14:compatExt spid="_x0000_s85066"/>
                </a:ext>
                <a:ext uri="{FF2B5EF4-FFF2-40B4-BE49-F238E27FC236}">
                  <a16:creationId xmlns:a16="http://schemas.microsoft.com/office/drawing/2014/main" id="{00000000-0008-0000-0200-00004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85067" name="Check Box 75" hidden="1">
              <a:extLst>
                <a:ext uri="{63B3BB69-23CF-44E3-9099-C40C66FF867C}">
                  <a14:compatExt spid="_x0000_s85067"/>
                </a:ext>
                <a:ext uri="{FF2B5EF4-FFF2-40B4-BE49-F238E27FC236}">
                  <a16:creationId xmlns:a16="http://schemas.microsoft.com/office/drawing/2014/main" id="{00000000-0008-0000-0200-00004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85068" name="Check Box 76" hidden="1">
              <a:extLst>
                <a:ext uri="{63B3BB69-23CF-44E3-9099-C40C66FF867C}">
                  <a14:compatExt spid="_x0000_s85068"/>
                </a:ext>
                <a:ext uri="{FF2B5EF4-FFF2-40B4-BE49-F238E27FC236}">
                  <a16:creationId xmlns:a16="http://schemas.microsoft.com/office/drawing/2014/main" id="{00000000-0008-0000-0200-00004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85069" name="Check Box 77" hidden="1">
              <a:extLst>
                <a:ext uri="{63B3BB69-23CF-44E3-9099-C40C66FF867C}">
                  <a14:compatExt spid="_x0000_s85069"/>
                </a:ext>
                <a:ext uri="{FF2B5EF4-FFF2-40B4-BE49-F238E27FC236}">
                  <a16:creationId xmlns:a16="http://schemas.microsoft.com/office/drawing/2014/main" id="{00000000-0008-0000-0200-00004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85070" name="Check Box 78" hidden="1">
              <a:extLst>
                <a:ext uri="{63B3BB69-23CF-44E3-9099-C40C66FF867C}">
                  <a14:compatExt spid="_x0000_s85070"/>
                </a:ext>
                <a:ext uri="{FF2B5EF4-FFF2-40B4-BE49-F238E27FC236}">
                  <a16:creationId xmlns:a16="http://schemas.microsoft.com/office/drawing/2014/main" id="{00000000-0008-0000-0200-00004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85071" name="Check Box 79" hidden="1">
              <a:extLst>
                <a:ext uri="{63B3BB69-23CF-44E3-9099-C40C66FF867C}">
                  <a14:compatExt spid="_x0000_s85071"/>
                </a:ext>
                <a:ext uri="{FF2B5EF4-FFF2-40B4-BE49-F238E27FC236}">
                  <a16:creationId xmlns:a16="http://schemas.microsoft.com/office/drawing/2014/main" id="{00000000-0008-0000-0200-00004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85072" name="Check Box 80" hidden="1">
              <a:extLst>
                <a:ext uri="{63B3BB69-23CF-44E3-9099-C40C66FF867C}">
                  <a14:compatExt spid="_x0000_s85072"/>
                </a:ext>
                <a:ext uri="{FF2B5EF4-FFF2-40B4-BE49-F238E27FC236}">
                  <a16:creationId xmlns:a16="http://schemas.microsoft.com/office/drawing/2014/main" id="{00000000-0008-0000-0200-00005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98412" name="グループ化 2">
          <a:extLst>
            <a:ext uri="{FF2B5EF4-FFF2-40B4-BE49-F238E27FC236}">
              <a16:creationId xmlns:a16="http://schemas.microsoft.com/office/drawing/2014/main" id="{00000000-0008-0000-0300-00006C800100}"/>
            </a:ext>
          </a:extLst>
        </xdr:cNvPr>
        <xdr:cNvGrpSpPr>
          <a:grpSpLocks/>
        </xdr:cNvGrpSpPr>
      </xdr:nvGrpSpPr>
      <xdr:grpSpPr bwMode="auto">
        <a:xfrm>
          <a:off x="413385" y="6055995"/>
          <a:ext cx="1466850" cy="3430905"/>
          <a:chOff x="381000" y="5495925"/>
          <a:chExt cx="1609725" cy="2628900"/>
        </a:xfrm>
      </xdr:grpSpPr>
      <xdr:pic>
        <xdr:nvPicPr>
          <xdr:cNvPr id="98414" name="Picture 1">
            <a:extLst>
              <a:ext uri="{FF2B5EF4-FFF2-40B4-BE49-F238E27FC236}">
                <a16:creationId xmlns:a16="http://schemas.microsoft.com/office/drawing/2014/main" id="{00000000-0008-0000-0300-00006E8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44824</xdr:colOff>
      <xdr:row>28</xdr:row>
      <xdr:rowOff>67236</xdr:rowOff>
    </xdr:from>
    <xdr:to>
      <xdr:col>52</xdr:col>
      <xdr:colOff>676276</xdr:colOff>
      <xdr:row>37</xdr:row>
      <xdr:rowOff>181537</xdr:rowOff>
    </xdr:to>
    <xdr:pic>
      <xdr:nvPicPr>
        <xdr:cNvPr id="98413" name="図 5">
          <a:extLst>
            <a:ext uri="{FF2B5EF4-FFF2-40B4-BE49-F238E27FC236}">
              <a16:creationId xmlns:a16="http://schemas.microsoft.com/office/drawing/2014/main" id="{00000000-0008-0000-0300-00006D8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92118" y="7664824"/>
          <a:ext cx="537154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3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3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3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3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3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3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3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3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3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3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3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300-00001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3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300-00002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0300-00002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0300-00002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0300-00002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85725</xdr:colOff>
      <xdr:row>22</xdr:row>
      <xdr:rowOff>266700</xdr:rowOff>
    </xdr:from>
    <xdr:to>
      <xdr:col>7</xdr:col>
      <xdr:colOff>219075</xdr:colOff>
      <xdr:row>36</xdr:row>
      <xdr:rowOff>9525</xdr:rowOff>
    </xdr:to>
    <xdr:grpSp>
      <xdr:nvGrpSpPr>
        <xdr:cNvPr id="99437" name="グループ化 2">
          <a:extLst>
            <a:ext uri="{FF2B5EF4-FFF2-40B4-BE49-F238E27FC236}">
              <a16:creationId xmlns:a16="http://schemas.microsoft.com/office/drawing/2014/main" id="{00000000-0008-0000-0400-00006D840100}"/>
            </a:ext>
          </a:extLst>
        </xdr:cNvPr>
        <xdr:cNvGrpSpPr>
          <a:grpSpLocks/>
        </xdr:cNvGrpSpPr>
      </xdr:nvGrpSpPr>
      <xdr:grpSpPr bwMode="auto">
        <a:xfrm>
          <a:off x="413385" y="6065520"/>
          <a:ext cx="1466850" cy="3430905"/>
          <a:chOff x="381000" y="5495925"/>
          <a:chExt cx="1609725" cy="2628900"/>
        </a:xfrm>
      </xdr:grpSpPr>
      <xdr:pic>
        <xdr:nvPicPr>
          <xdr:cNvPr id="99439" name="Picture 1">
            <a:extLst>
              <a:ext uri="{FF2B5EF4-FFF2-40B4-BE49-F238E27FC236}">
                <a16:creationId xmlns:a16="http://schemas.microsoft.com/office/drawing/2014/main" id="{00000000-0008-0000-0400-00006F8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161925</xdr:colOff>
      <xdr:row>38</xdr:row>
      <xdr:rowOff>76200</xdr:rowOff>
    </xdr:from>
    <xdr:to>
      <xdr:col>52</xdr:col>
      <xdr:colOff>542925</xdr:colOff>
      <xdr:row>47</xdr:row>
      <xdr:rowOff>190500</xdr:rowOff>
    </xdr:to>
    <xdr:pic>
      <xdr:nvPicPr>
        <xdr:cNvPr id="99438" name="図 5">
          <a:extLst>
            <a:ext uri="{FF2B5EF4-FFF2-40B4-BE49-F238E27FC236}">
              <a16:creationId xmlns:a16="http://schemas.microsoft.com/office/drawing/2014/main" id="{00000000-0008-0000-0400-00006E8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915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4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4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4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4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400-00000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4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99335" name="Check Box 7" hidden="1">
              <a:extLst>
                <a:ext uri="{63B3BB69-23CF-44E3-9099-C40C66FF867C}">
                  <a14:compatExt spid="_x0000_s99335"/>
                </a:ext>
                <a:ext uri="{FF2B5EF4-FFF2-40B4-BE49-F238E27FC236}">
                  <a16:creationId xmlns:a16="http://schemas.microsoft.com/office/drawing/2014/main" id="{00000000-0008-0000-0400-00000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99336" name="Check Box 8" hidden="1">
              <a:extLst>
                <a:ext uri="{63B3BB69-23CF-44E3-9099-C40C66FF867C}">
                  <a14:compatExt spid="_x0000_s99336"/>
                </a:ext>
                <a:ext uri="{FF2B5EF4-FFF2-40B4-BE49-F238E27FC236}">
                  <a16:creationId xmlns:a16="http://schemas.microsoft.com/office/drawing/2014/main" id="{00000000-0008-0000-0400-00000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99337" name="Check Box 9" hidden="1">
              <a:extLst>
                <a:ext uri="{63B3BB69-23CF-44E3-9099-C40C66FF867C}">
                  <a14:compatExt spid="_x0000_s99337"/>
                </a:ext>
                <a:ext uri="{FF2B5EF4-FFF2-40B4-BE49-F238E27FC236}">
                  <a16:creationId xmlns:a16="http://schemas.microsoft.com/office/drawing/2014/main" id="{00000000-0008-0000-0400-00000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99338" name="Check Box 10" hidden="1">
              <a:extLst>
                <a:ext uri="{63B3BB69-23CF-44E3-9099-C40C66FF867C}">
                  <a14:compatExt spid="_x0000_s99338"/>
                </a:ext>
                <a:ext uri="{FF2B5EF4-FFF2-40B4-BE49-F238E27FC236}">
                  <a16:creationId xmlns:a16="http://schemas.microsoft.com/office/drawing/2014/main" id="{00000000-0008-0000-0400-00000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400-00001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400-00001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400-00001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99362" name="Check Box 34" hidden="1">
              <a:extLst>
                <a:ext uri="{63B3BB69-23CF-44E3-9099-C40C66FF867C}">
                  <a14:compatExt spid="_x0000_s99362"/>
                </a:ext>
                <a:ext uri="{FF2B5EF4-FFF2-40B4-BE49-F238E27FC236}">
                  <a16:creationId xmlns:a16="http://schemas.microsoft.com/office/drawing/2014/main" id="{00000000-0008-0000-0400-00002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99363" name="Check Box 35" hidden="1">
              <a:extLst>
                <a:ext uri="{63B3BB69-23CF-44E3-9099-C40C66FF867C}">
                  <a14:compatExt spid="_x0000_s99363"/>
                </a:ext>
                <a:ext uri="{FF2B5EF4-FFF2-40B4-BE49-F238E27FC236}">
                  <a16:creationId xmlns:a16="http://schemas.microsoft.com/office/drawing/2014/main" id="{00000000-0008-0000-0400-00002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99365" name="Check Box 37" hidden="1">
              <a:extLst>
                <a:ext uri="{63B3BB69-23CF-44E3-9099-C40C66FF867C}">
                  <a14:compatExt spid="_x0000_s99365"/>
                </a:ext>
                <a:ext uri="{FF2B5EF4-FFF2-40B4-BE49-F238E27FC236}">
                  <a16:creationId xmlns:a16="http://schemas.microsoft.com/office/drawing/2014/main" id="{00000000-0008-0000-0400-00002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99366" name="Check Box 38" hidden="1">
              <a:extLst>
                <a:ext uri="{63B3BB69-23CF-44E3-9099-C40C66FF867C}">
                  <a14:compatExt spid="_x0000_s99366"/>
                </a:ext>
                <a:ext uri="{FF2B5EF4-FFF2-40B4-BE49-F238E27FC236}">
                  <a16:creationId xmlns:a16="http://schemas.microsoft.com/office/drawing/2014/main" id="{00000000-0008-0000-0400-00002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0461" name="グループ化 2">
          <a:extLst>
            <a:ext uri="{FF2B5EF4-FFF2-40B4-BE49-F238E27FC236}">
              <a16:creationId xmlns:a16="http://schemas.microsoft.com/office/drawing/2014/main" id="{00000000-0008-0000-0500-00006D880100}"/>
            </a:ext>
          </a:extLst>
        </xdr:cNvPr>
        <xdr:cNvGrpSpPr>
          <a:grpSpLocks/>
        </xdr:cNvGrpSpPr>
      </xdr:nvGrpSpPr>
      <xdr:grpSpPr bwMode="auto">
        <a:xfrm>
          <a:off x="422910" y="6065520"/>
          <a:ext cx="1466850" cy="3430905"/>
          <a:chOff x="381000" y="5495925"/>
          <a:chExt cx="1609725" cy="2628900"/>
        </a:xfrm>
      </xdr:grpSpPr>
      <xdr:pic>
        <xdr:nvPicPr>
          <xdr:cNvPr id="100463" name="Picture 1">
            <a:extLst>
              <a:ext uri="{FF2B5EF4-FFF2-40B4-BE49-F238E27FC236}">
                <a16:creationId xmlns:a16="http://schemas.microsoft.com/office/drawing/2014/main" id="{00000000-0008-0000-0500-00006F8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219075</xdr:colOff>
      <xdr:row>37</xdr:row>
      <xdr:rowOff>228600</xdr:rowOff>
    </xdr:from>
    <xdr:to>
      <xdr:col>52</xdr:col>
      <xdr:colOff>323290</xdr:colOff>
      <xdr:row>47</xdr:row>
      <xdr:rowOff>66675</xdr:rowOff>
    </xdr:to>
    <xdr:pic>
      <xdr:nvPicPr>
        <xdr:cNvPr id="100462" name="図 5">
          <a:extLst>
            <a:ext uri="{FF2B5EF4-FFF2-40B4-BE49-F238E27FC236}">
              <a16:creationId xmlns:a16="http://schemas.microsoft.com/office/drawing/2014/main" id="{00000000-0008-0000-0500-00006E8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82025" y="101822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5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5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5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5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5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5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500-00000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500-00000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500-00000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500-00000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0375" name="Check Box 23" hidden="1">
              <a:extLst>
                <a:ext uri="{63B3BB69-23CF-44E3-9099-C40C66FF867C}">
                  <a14:compatExt spid="_x0000_s100375"/>
                </a:ext>
                <a:ext uri="{FF2B5EF4-FFF2-40B4-BE49-F238E27FC236}">
                  <a16:creationId xmlns:a16="http://schemas.microsoft.com/office/drawing/2014/main" id="{00000000-0008-0000-0500-00001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0376" name="Check Box 24" hidden="1">
              <a:extLst>
                <a:ext uri="{63B3BB69-23CF-44E3-9099-C40C66FF867C}">
                  <a14:compatExt spid="_x0000_s100376"/>
                </a:ext>
                <a:ext uri="{FF2B5EF4-FFF2-40B4-BE49-F238E27FC236}">
                  <a16:creationId xmlns:a16="http://schemas.microsoft.com/office/drawing/2014/main" id="{00000000-0008-0000-0500-00001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0377" name="Check Box 25" hidden="1">
              <a:extLst>
                <a:ext uri="{63B3BB69-23CF-44E3-9099-C40C66FF867C}">
                  <a14:compatExt spid="_x0000_s100377"/>
                </a:ext>
                <a:ext uri="{FF2B5EF4-FFF2-40B4-BE49-F238E27FC236}">
                  <a16:creationId xmlns:a16="http://schemas.microsoft.com/office/drawing/2014/main" id="{00000000-0008-0000-0500-00001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0387" name="Check Box 35" hidden="1">
              <a:extLst>
                <a:ext uri="{63B3BB69-23CF-44E3-9099-C40C66FF867C}">
                  <a14:compatExt spid="_x0000_s100387"/>
                </a:ext>
                <a:ext uri="{FF2B5EF4-FFF2-40B4-BE49-F238E27FC236}">
                  <a16:creationId xmlns:a16="http://schemas.microsoft.com/office/drawing/2014/main" id="{00000000-0008-0000-0500-00002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0388" name="Check Box 36" hidden="1">
              <a:extLst>
                <a:ext uri="{63B3BB69-23CF-44E3-9099-C40C66FF867C}">
                  <a14:compatExt spid="_x0000_s100388"/>
                </a:ext>
                <a:ext uri="{FF2B5EF4-FFF2-40B4-BE49-F238E27FC236}">
                  <a16:creationId xmlns:a16="http://schemas.microsoft.com/office/drawing/2014/main" id="{00000000-0008-0000-0500-00002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0389" name="Check Box 37" hidden="1">
              <a:extLst>
                <a:ext uri="{63B3BB69-23CF-44E3-9099-C40C66FF867C}">
                  <a14:compatExt spid="_x0000_s100389"/>
                </a:ext>
                <a:ext uri="{FF2B5EF4-FFF2-40B4-BE49-F238E27FC236}">
                  <a16:creationId xmlns:a16="http://schemas.microsoft.com/office/drawing/2014/main" id="{00000000-0008-0000-0500-00002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0391" name="Check Box 39" hidden="1">
              <a:extLst>
                <a:ext uri="{63B3BB69-23CF-44E3-9099-C40C66FF867C}">
                  <a14:compatExt spid="_x0000_s100391"/>
                </a:ext>
                <a:ext uri="{FF2B5EF4-FFF2-40B4-BE49-F238E27FC236}">
                  <a16:creationId xmlns:a16="http://schemas.microsoft.com/office/drawing/2014/main" id="{00000000-0008-0000-0500-00002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95250</xdr:colOff>
      <xdr:row>22</xdr:row>
      <xdr:rowOff>257175</xdr:rowOff>
    </xdr:from>
    <xdr:to>
      <xdr:col>7</xdr:col>
      <xdr:colOff>228600</xdr:colOff>
      <xdr:row>36</xdr:row>
      <xdr:rowOff>0</xdr:rowOff>
    </xdr:to>
    <xdr:grpSp>
      <xdr:nvGrpSpPr>
        <xdr:cNvPr id="101484" name="グループ化 2">
          <a:extLst>
            <a:ext uri="{FF2B5EF4-FFF2-40B4-BE49-F238E27FC236}">
              <a16:creationId xmlns:a16="http://schemas.microsoft.com/office/drawing/2014/main" id="{00000000-0008-0000-0600-00006C8C0100}"/>
            </a:ext>
          </a:extLst>
        </xdr:cNvPr>
        <xdr:cNvGrpSpPr>
          <a:grpSpLocks/>
        </xdr:cNvGrpSpPr>
      </xdr:nvGrpSpPr>
      <xdr:grpSpPr bwMode="auto">
        <a:xfrm>
          <a:off x="422910" y="6055995"/>
          <a:ext cx="1466850" cy="3430905"/>
          <a:chOff x="381000" y="5495925"/>
          <a:chExt cx="1609725" cy="2628900"/>
        </a:xfrm>
      </xdr:grpSpPr>
      <xdr:pic>
        <xdr:nvPicPr>
          <xdr:cNvPr id="101486" name="Picture 1">
            <a:extLst>
              <a:ext uri="{FF2B5EF4-FFF2-40B4-BE49-F238E27FC236}">
                <a16:creationId xmlns:a16="http://schemas.microsoft.com/office/drawing/2014/main" id="{00000000-0008-0000-0600-00006E8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285750</xdr:colOff>
      <xdr:row>37</xdr:row>
      <xdr:rowOff>247650</xdr:rowOff>
    </xdr:from>
    <xdr:to>
      <xdr:col>52</xdr:col>
      <xdr:colOff>389965</xdr:colOff>
      <xdr:row>47</xdr:row>
      <xdr:rowOff>85725</xdr:rowOff>
    </xdr:to>
    <xdr:pic>
      <xdr:nvPicPr>
        <xdr:cNvPr id="101485" name="図 5">
          <a:extLst>
            <a:ext uri="{FF2B5EF4-FFF2-40B4-BE49-F238E27FC236}">
              <a16:creationId xmlns:a16="http://schemas.microsoft.com/office/drawing/2014/main" id="{00000000-0008-0000-0600-00006D8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6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6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6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6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6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1382" name="Check Box 6" hidden="1">
              <a:extLst>
                <a:ext uri="{63B3BB69-23CF-44E3-9099-C40C66FF867C}">
                  <a14:compatExt spid="_x0000_s101382"/>
                </a:ext>
                <a:ext uri="{FF2B5EF4-FFF2-40B4-BE49-F238E27FC236}">
                  <a16:creationId xmlns:a16="http://schemas.microsoft.com/office/drawing/2014/main" id="{00000000-0008-0000-0600-00000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6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0600-00000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6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6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0600-00001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6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6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6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600-00002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6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6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2508" name="グループ化 2">
          <a:extLst>
            <a:ext uri="{FF2B5EF4-FFF2-40B4-BE49-F238E27FC236}">
              <a16:creationId xmlns:a16="http://schemas.microsoft.com/office/drawing/2014/main" id="{00000000-0008-0000-0700-00006C900100}"/>
            </a:ext>
          </a:extLst>
        </xdr:cNvPr>
        <xdr:cNvGrpSpPr>
          <a:grpSpLocks/>
        </xdr:cNvGrpSpPr>
      </xdr:nvGrpSpPr>
      <xdr:grpSpPr bwMode="auto">
        <a:xfrm>
          <a:off x="413385" y="6055995"/>
          <a:ext cx="1466850" cy="3430905"/>
          <a:chOff x="381000" y="5495925"/>
          <a:chExt cx="1609725" cy="2628900"/>
        </a:xfrm>
      </xdr:grpSpPr>
      <xdr:pic>
        <xdr:nvPicPr>
          <xdr:cNvPr id="102510" name="Picture 1">
            <a:extLst>
              <a:ext uri="{FF2B5EF4-FFF2-40B4-BE49-F238E27FC236}">
                <a16:creationId xmlns:a16="http://schemas.microsoft.com/office/drawing/2014/main" id="{00000000-0008-0000-0700-00006E9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66675</xdr:colOff>
      <xdr:row>36</xdr:row>
      <xdr:rowOff>114300</xdr:rowOff>
    </xdr:from>
    <xdr:to>
      <xdr:col>52</xdr:col>
      <xdr:colOff>466165</xdr:colOff>
      <xdr:row>45</xdr:row>
      <xdr:rowOff>228600</xdr:rowOff>
    </xdr:to>
    <xdr:pic>
      <xdr:nvPicPr>
        <xdr:cNvPr id="102509" name="図 5">
          <a:extLst>
            <a:ext uri="{FF2B5EF4-FFF2-40B4-BE49-F238E27FC236}">
              <a16:creationId xmlns:a16="http://schemas.microsoft.com/office/drawing/2014/main" id="{00000000-0008-0000-0700-00006D9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24900" y="9791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7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7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07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07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07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07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07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07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07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07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2422" name="Check Box 22" hidden="1">
              <a:extLst>
                <a:ext uri="{63B3BB69-23CF-44E3-9099-C40C66FF867C}">
                  <a14:compatExt spid="_x0000_s102422"/>
                </a:ext>
                <a:ext uri="{FF2B5EF4-FFF2-40B4-BE49-F238E27FC236}">
                  <a16:creationId xmlns:a16="http://schemas.microsoft.com/office/drawing/2014/main" id="{00000000-0008-0000-0700-00001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2423" name="Check Box 23" hidden="1">
              <a:extLst>
                <a:ext uri="{63B3BB69-23CF-44E3-9099-C40C66FF867C}">
                  <a14:compatExt spid="_x0000_s102423"/>
                </a:ext>
                <a:ext uri="{FF2B5EF4-FFF2-40B4-BE49-F238E27FC236}">
                  <a16:creationId xmlns:a16="http://schemas.microsoft.com/office/drawing/2014/main" id="{00000000-0008-0000-0700-00001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2424" name="Check Box 24" hidden="1">
              <a:extLst>
                <a:ext uri="{63B3BB69-23CF-44E3-9099-C40C66FF867C}">
                  <a14:compatExt spid="_x0000_s102424"/>
                </a:ext>
                <a:ext uri="{FF2B5EF4-FFF2-40B4-BE49-F238E27FC236}">
                  <a16:creationId xmlns:a16="http://schemas.microsoft.com/office/drawing/2014/main" id="{00000000-0008-0000-0700-00001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2433" name="Check Box 33" hidden="1">
              <a:extLst>
                <a:ext uri="{63B3BB69-23CF-44E3-9099-C40C66FF867C}">
                  <a14:compatExt spid="_x0000_s102433"/>
                </a:ext>
                <a:ext uri="{FF2B5EF4-FFF2-40B4-BE49-F238E27FC236}">
                  <a16:creationId xmlns:a16="http://schemas.microsoft.com/office/drawing/2014/main" id="{00000000-0008-0000-0700-00002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2435" name="Check Box 35" hidden="1">
              <a:extLst>
                <a:ext uri="{63B3BB69-23CF-44E3-9099-C40C66FF867C}">
                  <a14:compatExt spid="_x0000_s102435"/>
                </a:ext>
                <a:ext uri="{FF2B5EF4-FFF2-40B4-BE49-F238E27FC236}">
                  <a16:creationId xmlns:a16="http://schemas.microsoft.com/office/drawing/2014/main" id="{00000000-0008-0000-0700-00002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2436" name="Check Box 36" hidden="1">
              <a:extLst>
                <a:ext uri="{63B3BB69-23CF-44E3-9099-C40C66FF867C}">
                  <a14:compatExt spid="_x0000_s102436"/>
                </a:ext>
                <a:ext uri="{FF2B5EF4-FFF2-40B4-BE49-F238E27FC236}">
                  <a16:creationId xmlns:a16="http://schemas.microsoft.com/office/drawing/2014/main" id="{00000000-0008-0000-0700-00002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2437" name="Check Box 37" hidden="1">
              <a:extLst>
                <a:ext uri="{63B3BB69-23CF-44E3-9099-C40C66FF867C}">
                  <a14:compatExt spid="_x0000_s102437"/>
                </a:ext>
                <a:ext uri="{FF2B5EF4-FFF2-40B4-BE49-F238E27FC236}">
                  <a16:creationId xmlns:a16="http://schemas.microsoft.com/office/drawing/2014/main" id="{00000000-0008-0000-0700-00002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3532" name="グループ化 2">
          <a:extLst>
            <a:ext uri="{FF2B5EF4-FFF2-40B4-BE49-F238E27FC236}">
              <a16:creationId xmlns:a16="http://schemas.microsoft.com/office/drawing/2014/main" id="{00000000-0008-0000-0800-00006C940100}"/>
            </a:ext>
          </a:extLst>
        </xdr:cNvPr>
        <xdr:cNvGrpSpPr>
          <a:grpSpLocks/>
        </xdr:cNvGrpSpPr>
      </xdr:nvGrpSpPr>
      <xdr:grpSpPr bwMode="auto">
        <a:xfrm>
          <a:off x="413385" y="6055995"/>
          <a:ext cx="1466850" cy="3430905"/>
          <a:chOff x="381000" y="5495925"/>
          <a:chExt cx="1609725" cy="2628900"/>
        </a:xfrm>
      </xdr:grpSpPr>
      <xdr:pic>
        <xdr:nvPicPr>
          <xdr:cNvPr id="103534" name="Picture 1">
            <a:extLst>
              <a:ext uri="{FF2B5EF4-FFF2-40B4-BE49-F238E27FC236}">
                <a16:creationId xmlns:a16="http://schemas.microsoft.com/office/drawing/2014/main" id="{00000000-0008-0000-0800-00006E9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428625</xdr:colOff>
      <xdr:row>28</xdr:row>
      <xdr:rowOff>47625</xdr:rowOff>
    </xdr:from>
    <xdr:to>
      <xdr:col>53</xdr:col>
      <xdr:colOff>118383</xdr:colOff>
      <xdr:row>37</xdr:row>
      <xdr:rowOff>161925</xdr:rowOff>
    </xdr:to>
    <xdr:pic>
      <xdr:nvPicPr>
        <xdr:cNvPr id="103533" name="図 5">
          <a:extLst>
            <a:ext uri="{FF2B5EF4-FFF2-40B4-BE49-F238E27FC236}">
              <a16:creationId xmlns:a16="http://schemas.microsoft.com/office/drawing/2014/main" id="{00000000-0008-0000-0800-00006D9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76676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8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8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8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8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8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8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8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8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8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8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8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8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8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3457" name="Check Box 33" hidden="1">
              <a:extLst>
                <a:ext uri="{63B3BB69-23CF-44E3-9099-C40C66FF867C}">
                  <a14:compatExt spid="_x0000_s103457"/>
                </a:ext>
                <a:ext uri="{FF2B5EF4-FFF2-40B4-BE49-F238E27FC236}">
                  <a16:creationId xmlns:a16="http://schemas.microsoft.com/office/drawing/2014/main" id="{00000000-0008-0000-0800-00002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3458" name="Check Box 34" hidden="1">
              <a:extLst>
                <a:ext uri="{63B3BB69-23CF-44E3-9099-C40C66FF867C}">
                  <a14:compatExt spid="_x0000_s103458"/>
                </a:ext>
                <a:ext uri="{FF2B5EF4-FFF2-40B4-BE49-F238E27FC236}">
                  <a16:creationId xmlns:a16="http://schemas.microsoft.com/office/drawing/2014/main" id="{00000000-0008-0000-0800-00002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3459" name="Check Box 35" hidden="1">
              <a:extLst>
                <a:ext uri="{63B3BB69-23CF-44E3-9099-C40C66FF867C}">
                  <a14:compatExt spid="_x0000_s103459"/>
                </a:ext>
                <a:ext uri="{FF2B5EF4-FFF2-40B4-BE49-F238E27FC236}">
                  <a16:creationId xmlns:a16="http://schemas.microsoft.com/office/drawing/2014/main" id="{00000000-0008-0000-0800-00002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3460" name="Check Box 36" hidden="1">
              <a:extLst>
                <a:ext uri="{63B3BB69-23CF-44E3-9099-C40C66FF867C}">
                  <a14:compatExt spid="_x0000_s103460"/>
                </a:ext>
                <a:ext uri="{FF2B5EF4-FFF2-40B4-BE49-F238E27FC236}">
                  <a16:creationId xmlns:a16="http://schemas.microsoft.com/office/drawing/2014/main" id="{00000000-0008-0000-0800-00002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4556" name="グループ化 2">
          <a:extLst>
            <a:ext uri="{FF2B5EF4-FFF2-40B4-BE49-F238E27FC236}">
              <a16:creationId xmlns:a16="http://schemas.microsoft.com/office/drawing/2014/main" id="{00000000-0008-0000-0900-00006C980100}"/>
            </a:ext>
          </a:extLst>
        </xdr:cNvPr>
        <xdr:cNvGrpSpPr>
          <a:grpSpLocks/>
        </xdr:cNvGrpSpPr>
      </xdr:nvGrpSpPr>
      <xdr:grpSpPr bwMode="auto">
        <a:xfrm>
          <a:off x="422910" y="6065520"/>
          <a:ext cx="1466850" cy="3430905"/>
          <a:chOff x="381000" y="5495925"/>
          <a:chExt cx="1609725" cy="2628900"/>
        </a:xfrm>
      </xdr:grpSpPr>
      <xdr:pic>
        <xdr:nvPicPr>
          <xdr:cNvPr id="104558" name="Picture 1">
            <a:extLst>
              <a:ext uri="{FF2B5EF4-FFF2-40B4-BE49-F238E27FC236}">
                <a16:creationId xmlns:a16="http://schemas.microsoft.com/office/drawing/2014/main" id="{00000000-0008-0000-0900-00006E9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771525</xdr:colOff>
      <xdr:row>29</xdr:row>
      <xdr:rowOff>238125</xdr:rowOff>
    </xdr:from>
    <xdr:to>
      <xdr:col>52</xdr:col>
      <xdr:colOff>622566</xdr:colOff>
      <xdr:row>39</xdr:row>
      <xdr:rowOff>77561</xdr:rowOff>
    </xdr:to>
    <xdr:pic>
      <xdr:nvPicPr>
        <xdr:cNvPr id="104557" name="図 5">
          <a:extLst>
            <a:ext uri="{FF2B5EF4-FFF2-40B4-BE49-F238E27FC236}">
              <a16:creationId xmlns:a16="http://schemas.microsoft.com/office/drawing/2014/main" id="{00000000-0008-0000-0900-00006D9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0846" y="7885339"/>
          <a:ext cx="5380264" cy="241118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9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9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9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9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9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9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9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900-00000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900-00000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9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4470" name="Check Box 22" hidden="1">
              <a:extLst>
                <a:ext uri="{63B3BB69-23CF-44E3-9099-C40C66FF867C}">
                  <a14:compatExt spid="_x0000_s104470"/>
                </a:ext>
                <a:ext uri="{FF2B5EF4-FFF2-40B4-BE49-F238E27FC236}">
                  <a16:creationId xmlns:a16="http://schemas.microsoft.com/office/drawing/2014/main" id="{00000000-0008-0000-0900-00001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900-00001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9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900-00002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900-00002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4484" name="Check Box 36" hidden="1">
              <a:extLst>
                <a:ext uri="{63B3BB69-23CF-44E3-9099-C40C66FF867C}">
                  <a14:compatExt spid="_x0000_s104484"/>
                </a:ext>
                <a:ext uri="{FF2B5EF4-FFF2-40B4-BE49-F238E27FC236}">
                  <a16:creationId xmlns:a16="http://schemas.microsoft.com/office/drawing/2014/main" id="{00000000-0008-0000-0900-00002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4485" name="Check Box 37" hidden="1">
              <a:extLst>
                <a:ext uri="{63B3BB69-23CF-44E3-9099-C40C66FF867C}">
                  <a14:compatExt spid="_x0000_s104485"/>
                </a:ext>
                <a:ext uri="{FF2B5EF4-FFF2-40B4-BE49-F238E27FC236}">
                  <a16:creationId xmlns:a16="http://schemas.microsoft.com/office/drawing/2014/main" id="{00000000-0008-0000-0900-00002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8" Type="http://schemas.openxmlformats.org/officeDocument/2006/relationships/ctrlProp" Target="../ctrlProps/ctrlProp139.xml" />
  <Relationship Id="rId13" Type="http://schemas.openxmlformats.org/officeDocument/2006/relationships/ctrlProp" Target="../ctrlProps/ctrlProp144.xml" />
  <Relationship Id="rId18" Type="http://schemas.openxmlformats.org/officeDocument/2006/relationships/ctrlProp" Target="../ctrlProps/ctrlProp149.xml" />
  <Relationship Id="rId3" Type="http://schemas.openxmlformats.org/officeDocument/2006/relationships/vmlDrawing" Target="../drawings/vmlDrawing9.vml" />
  <Relationship Id="rId21" Type="http://schemas.openxmlformats.org/officeDocument/2006/relationships/comments" Target="../comments8.xml" />
  <Relationship Id="rId7" Type="http://schemas.openxmlformats.org/officeDocument/2006/relationships/ctrlProp" Target="../ctrlProps/ctrlProp138.xml" />
  <Relationship Id="rId12" Type="http://schemas.openxmlformats.org/officeDocument/2006/relationships/ctrlProp" Target="../ctrlProps/ctrlProp143.xml" />
  <Relationship Id="rId17" Type="http://schemas.openxmlformats.org/officeDocument/2006/relationships/ctrlProp" Target="../ctrlProps/ctrlProp148.xml" />
  <Relationship Id="rId2" Type="http://schemas.openxmlformats.org/officeDocument/2006/relationships/drawing" Target="../drawings/drawing9.xml" />
  <Relationship Id="rId16" Type="http://schemas.openxmlformats.org/officeDocument/2006/relationships/ctrlProp" Target="../ctrlProps/ctrlProp147.xml" />
  <Relationship Id="rId20" Type="http://schemas.openxmlformats.org/officeDocument/2006/relationships/ctrlProp" Target="../ctrlProps/ctrlProp151.xml" />
  <Relationship Id="rId1" Type="http://schemas.openxmlformats.org/officeDocument/2006/relationships/printerSettings" Target="../printerSettings/printerSettings10.bin" />
  <Relationship Id="rId6" Type="http://schemas.openxmlformats.org/officeDocument/2006/relationships/ctrlProp" Target="../ctrlProps/ctrlProp137.xml" />
  <Relationship Id="rId11" Type="http://schemas.openxmlformats.org/officeDocument/2006/relationships/ctrlProp" Target="../ctrlProps/ctrlProp142.xml" />
  <Relationship Id="rId5" Type="http://schemas.openxmlformats.org/officeDocument/2006/relationships/ctrlProp" Target="../ctrlProps/ctrlProp136.xml" />
  <Relationship Id="rId15" Type="http://schemas.openxmlformats.org/officeDocument/2006/relationships/ctrlProp" Target="../ctrlProps/ctrlProp146.xml" />
  <Relationship Id="rId10" Type="http://schemas.openxmlformats.org/officeDocument/2006/relationships/ctrlProp" Target="../ctrlProps/ctrlProp141.xml" />
  <Relationship Id="rId19" Type="http://schemas.openxmlformats.org/officeDocument/2006/relationships/ctrlProp" Target="../ctrlProps/ctrlProp150.xml" />
  <Relationship Id="rId4" Type="http://schemas.openxmlformats.org/officeDocument/2006/relationships/ctrlProp" Target="../ctrlProps/ctrlProp135.xml" />
  <Relationship Id="rId9" Type="http://schemas.openxmlformats.org/officeDocument/2006/relationships/ctrlProp" Target="../ctrlProps/ctrlProp140.xml" />
  <Relationship Id="rId14" Type="http://schemas.openxmlformats.org/officeDocument/2006/relationships/ctrlProp" Target="../ctrlProps/ctrlProp145.xml"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8.xml" />
  <Relationship Id="rId13" Type="http://schemas.openxmlformats.org/officeDocument/2006/relationships/ctrlProp" Target="../ctrlProps/ctrlProp13.xml" />
  <Relationship Id="rId18" Type="http://schemas.openxmlformats.org/officeDocument/2006/relationships/ctrlProp" Target="../ctrlProps/ctrlProp18.xml" />
  <Relationship Id="rId26" Type="http://schemas.openxmlformats.org/officeDocument/2006/relationships/ctrlProp" Target="../ctrlProps/ctrlProp26.xml" />
  <Relationship Id="rId3" Type="http://schemas.openxmlformats.org/officeDocument/2006/relationships/vmlDrawing" Target="../drawings/vmlDrawing2.vml" />
  <Relationship Id="rId21" Type="http://schemas.openxmlformats.org/officeDocument/2006/relationships/ctrlProp" Target="../ctrlProps/ctrlProp21.xml" />
  <Relationship Id="rId7" Type="http://schemas.openxmlformats.org/officeDocument/2006/relationships/ctrlProp" Target="../ctrlProps/ctrlProp7.xml" />
  <Relationship Id="rId12" Type="http://schemas.openxmlformats.org/officeDocument/2006/relationships/ctrlProp" Target="../ctrlProps/ctrlProp12.xml" />
  <Relationship Id="rId17" Type="http://schemas.openxmlformats.org/officeDocument/2006/relationships/ctrlProp" Target="../ctrlProps/ctrlProp17.xml" />
  <Relationship Id="rId25" Type="http://schemas.openxmlformats.org/officeDocument/2006/relationships/ctrlProp" Target="../ctrlProps/ctrlProp25.xml" />
  <Relationship Id="rId33" Type="http://schemas.openxmlformats.org/officeDocument/2006/relationships/comments" Target="../comments1.xml" />
  <Relationship Id="rId2" Type="http://schemas.openxmlformats.org/officeDocument/2006/relationships/drawing" Target="../drawings/drawing2.xml" />
  <Relationship Id="rId16" Type="http://schemas.openxmlformats.org/officeDocument/2006/relationships/ctrlProp" Target="../ctrlProps/ctrlProp16.xml" />
  <Relationship Id="rId20" Type="http://schemas.openxmlformats.org/officeDocument/2006/relationships/ctrlProp" Target="../ctrlProps/ctrlProp20.xml" />
  <Relationship Id="rId29" Type="http://schemas.openxmlformats.org/officeDocument/2006/relationships/ctrlProp" Target="../ctrlProps/ctrlProp29.xml" />
  <Relationship Id="rId1" Type="http://schemas.openxmlformats.org/officeDocument/2006/relationships/printerSettings" Target="../printerSettings/printerSettings3.bin" />
  <Relationship Id="rId6" Type="http://schemas.openxmlformats.org/officeDocument/2006/relationships/ctrlProp" Target="../ctrlProps/ctrlProp6.xml" />
  <Relationship Id="rId11" Type="http://schemas.openxmlformats.org/officeDocument/2006/relationships/ctrlProp" Target="../ctrlProps/ctrlProp11.xml" />
  <Relationship Id="rId24" Type="http://schemas.openxmlformats.org/officeDocument/2006/relationships/ctrlProp" Target="../ctrlProps/ctrlProp24.xml" />
  <Relationship Id="rId32" Type="http://schemas.openxmlformats.org/officeDocument/2006/relationships/ctrlProp" Target="../ctrlProps/ctrlProp32.xml" />
  <Relationship Id="rId5" Type="http://schemas.openxmlformats.org/officeDocument/2006/relationships/ctrlProp" Target="../ctrlProps/ctrlProp5.xml" />
  <Relationship Id="rId15" Type="http://schemas.openxmlformats.org/officeDocument/2006/relationships/ctrlProp" Target="../ctrlProps/ctrlProp15.xml" />
  <Relationship Id="rId23" Type="http://schemas.openxmlformats.org/officeDocument/2006/relationships/ctrlProp" Target="../ctrlProps/ctrlProp23.xml" />
  <Relationship Id="rId28" Type="http://schemas.openxmlformats.org/officeDocument/2006/relationships/ctrlProp" Target="../ctrlProps/ctrlProp28.xml" />
  <Relationship Id="rId10" Type="http://schemas.openxmlformats.org/officeDocument/2006/relationships/ctrlProp" Target="../ctrlProps/ctrlProp10.xml" />
  <Relationship Id="rId19" Type="http://schemas.openxmlformats.org/officeDocument/2006/relationships/ctrlProp" Target="../ctrlProps/ctrlProp19.xml" />
  <Relationship Id="rId31" Type="http://schemas.openxmlformats.org/officeDocument/2006/relationships/ctrlProp" Target="../ctrlProps/ctrlProp31.xml" />
  <Relationship Id="rId4" Type="http://schemas.openxmlformats.org/officeDocument/2006/relationships/ctrlProp" Target="../ctrlProps/ctrlProp4.xml" />
  <Relationship Id="rId9" Type="http://schemas.openxmlformats.org/officeDocument/2006/relationships/ctrlProp" Target="../ctrlProps/ctrlProp9.xml" />
  <Relationship Id="rId14" Type="http://schemas.openxmlformats.org/officeDocument/2006/relationships/ctrlProp" Target="../ctrlProps/ctrlProp14.xml" />
  <Relationship Id="rId22" Type="http://schemas.openxmlformats.org/officeDocument/2006/relationships/ctrlProp" Target="../ctrlProps/ctrlProp22.xml" />
  <Relationship Id="rId27" Type="http://schemas.openxmlformats.org/officeDocument/2006/relationships/ctrlProp" Target="../ctrlProps/ctrlProp27.xml" />
  <Relationship Id="rId30" Type="http://schemas.openxmlformats.org/officeDocument/2006/relationships/ctrlProp" Target="../ctrlProps/ctrlProp30.xml" />
</Relationships>
</file>

<file path=xl/worksheets/_rels/sheet4.xml.rels>&#65279;<?xml version="1.0" encoding="utf-8" standalone="yes"?>
<Relationships xmlns="http://schemas.openxmlformats.org/package/2006/relationships">
  <Relationship Id="rId8" Type="http://schemas.openxmlformats.org/officeDocument/2006/relationships/ctrlProp" Target="../ctrlProps/ctrlProp37.xml" />
  <Relationship Id="rId13" Type="http://schemas.openxmlformats.org/officeDocument/2006/relationships/ctrlProp" Target="../ctrlProps/ctrlProp42.xml" />
  <Relationship Id="rId18" Type="http://schemas.openxmlformats.org/officeDocument/2006/relationships/ctrlProp" Target="../ctrlProps/ctrlProp47.xml" />
  <Relationship Id="rId3" Type="http://schemas.openxmlformats.org/officeDocument/2006/relationships/vmlDrawing" Target="../drawings/vmlDrawing3.vml" />
  <Relationship Id="rId21" Type="http://schemas.openxmlformats.org/officeDocument/2006/relationships/comments" Target="../comments2.xml" />
  <Relationship Id="rId7" Type="http://schemas.openxmlformats.org/officeDocument/2006/relationships/ctrlProp" Target="../ctrlProps/ctrlProp36.xml" />
  <Relationship Id="rId12" Type="http://schemas.openxmlformats.org/officeDocument/2006/relationships/ctrlProp" Target="../ctrlProps/ctrlProp41.xml" />
  <Relationship Id="rId17" Type="http://schemas.openxmlformats.org/officeDocument/2006/relationships/ctrlProp" Target="../ctrlProps/ctrlProp46.xml" />
  <Relationship Id="rId2" Type="http://schemas.openxmlformats.org/officeDocument/2006/relationships/drawing" Target="../drawings/drawing3.xml" />
  <Relationship Id="rId16" Type="http://schemas.openxmlformats.org/officeDocument/2006/relationships/ctrlProp" Target="../ctrlProps/ctrlProp45.xml" />
  <Relationship Id="rId20" Type="http://schemas.openxmlformats.org/officeDocument/2006/relationships/ctrlProp" Target="../ctrlProps/ctrlProp49.xml" />
  <Relationship Id="rId1" Type="http://schemas.openxmlformats.org/officeDocument/2006/relationships/printerSettings" Target="../printerSettings/printerSettings4.bin" />
  <Relationship Id="rId6" Type="http://schemas.openxmlformats.org/officeDocument/2006/relationships/ctrlProp" Target="../ctrlProps/ctrlProp35.xml" />
  <Relationship Id="rId11" Type="http://schemas.openxmlformats.org/officeDocument/2006/relationships/ctrlProp" Target="../ctrlProps/ctrlProp40.xml" />
  <Relationship Id="rId5" Type="http://schemas.openxmlformats.org/officeDocument/2006/relationships/ctrlProp" Target="../ctrlProps/ctrlProp34.xml" />
  <Relationship Id="rId15" Type="http://schemas.openxmlformats.org/officeDocument/2006/relationships/ctrlProp" Target="../ctrlProps/ctrlProp44.xml" />
  <Relationship Id="rId10" Type="http://schemas.openxmlformats.org/officeDocument/2006/relationships/ctrlProp" Target="../ctrlProps/ctrlProp39.xml" />
  <Relationship Id="rId19" Type="http://schemas.openxmlformats.org/officeDocument/2006/relationships/ctrlProp" Target="../ctrlProps/ctrlProp48.xml" />
  <Relationship Id="rId4" Type="http://schemas.openxmlformats.org/officeDocument/2006/relationships/ctrlProp" Target="../ctrlProps/ctrlProp33.xml" />
  <Relationship Id="rId9" Type="http://schemas.openxmlformats.org/officeDocument/2006/relationships/ctrlProp" Target="../ctrlProps/ctrlProp38.xml" />
  <Relationship Id="rId14" Type="http://schemas.openxmlformats.org/officeDocument/2006/relationships/ctrlProp" Target="../ctrlProps/ctrlProp43.x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54.xml" />
  <Relationship Id="rId13" Type="http://schemas.openxmlformats.org/officeDocument/2006/relationships/ctrlProp" Target="../ctrlProps/ctrlProp59.xml" />
  <Relationship Id="rId18" Type="http://schemas.openxmlformats.org/officeDocument/2006/relationships/ctrlProp" Target="../ctrlProps/ctrlProp64.xml" />
  <Relationship Id="rId3" Type="http://schemas.openxmlformats.org/officeDocument/2006/relationships/vmlDrawing" Target="../drawings/vmlDrawing4.vml" />
  <Relationship Id="rId21" Type="http://schemas.openxmlformats.org/officeDocument/2006/relationships/comments" Target="../comments3.xml" />
  <Relationship Id="rId7" Type="http://schemas.openxmlformats.org/officeDocument/2006/relationships/ctrlProp" Target="../ctrlProps/ctrlProp53.xml" />
  <Relationship Id="rId12" Type="http://schemas.openxmlformats.org/officeDocument/2006/relationships/ctrlProp" Target="../ctrlProps/ctrlProp58.xml" />
  <Relationship Id="rId17" Type="http://schemas.openxmlformats.org/officeDocument/2006/relationships/ctrlProp" Target="../ctrlProps/ctrlProp63.xml" />
  <Relationship Id="rId2" Type="http://schemas.openxmlformats.org/officeDocument/2006/relationships/drawing" Target="../drawings/drawing4.xml" />
  <Relationship Id="rId16" Type="http://schemas.openxmlformats.org/officeDocument/2006/relationships/ctrlProp" Target="../ctrlProps/ctrlProp62.xml" />
  <Relationship Id="rId20" Type="http://schemas.openxmlformats.org/officeDocument/2006/relationships/ctrlProp" Target="../ctrlProps/ctrlProp66.xml" />
  <Relationship Id="rId1" Type="http://schemas.openxmlformats.org/officeDocument/2006/relationships/printerSettings" Target="../printerSettings/printerSettings5.bin" />
  <Relationship Id="rId6" Type="http://schemas.openxmlformats.org/officeDocument/2006/relationships/ctrlProp" Target="../ctrlProps/ctrlProp52.xml" />
  <Relationship Id="rId11" Type="http://schemas.openxmlformats.org/officeDocument/2006/relationships/ctrlProp" Target="../ctrlProps/ctrlProp57.xml" />
  <Relationship Id="rId5" Type="http://schemas.openxmlformats.org/officeDocument/2006/relationships/ctrlProp" Target="../ctrlProps/ctrlProp51.xml" />
  <Relationship Id="rId15" Type="http://schemas.openxmlformats.org/officeDocument/2006/relationships/ctrlProp" Target="../ctrlProps/ctrlProp61.xml" />
  <Relationship Id="rId10" Type="http://schemas.openxmlformats.org/officeDocument/2006/relationships/ctrlProp" Target="../ctrlProps/ctrlProp56.xml" />
  <Relationship Id="rId19" Type="http://schemas.openxmlformats.org/officeDocument/2006/relationships/ctrlProp" Target="../ctrlProps/ctrlProp65.xml" />
  <Relationship Id="rId4" Type="http://schemas.openxmlformats.org/officeDocument/2006/relationships/ctrlProp" Target="../ctrlProps/ctrlProp50.xml" />
  <Relationship Id="rId9" Type="http://schemas.openxmlformats.org/officeDocument/2006/relationships/ctrlProp" Target="../ctrlProps/ctrlProp55.xml" />
  <Relationship Id="rId14" Type="http://schemas.openxmlformats.org/officeDocument/2006/relationships/ctrlProp" Target="../ctrlProps/ctrlProp60.x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71.xml" />
  <Relationship Id="rId13" Type="http://schemas.openxmlformats.org/officeDocument/2006/relationships/ctrlProp" Target="../ctrlProps/ctrlProp76.xml" />
  <Relationship Id="rId18" Type="http://schemas.openxmlformats.org/officeDocument/2006/relationships/ctrlProp" Target="../ctrlProps/ctrlProp81.xml" />
  <Relationship Id="rId3" Type="http://schemas.openxmlformats.org/officeDocument/2006/relationships/vmlDrawing" Target="../drawings/vmlDrawing5.vml" />
  <Relationship Id="rId21" Type="http://schemas.openxmlformats.org/officeDocument/2006/relationships/comments" Target="../comments4.xml" />
  <Relationship Id="rId7" Type="http://schemas.openxmlformats.org/officeDocument/2006/relationships/ctrlProp" Target="../ctrlProps/ctrlProp70.xml" />
  <Relationship Id="rId12" Type="http://schemas.openxmlformats.org/officeDocument/2006/relationships/ctrlProp" Target="../ctrlProps/ctrlProp75.xml" />
  <Relationship Id="rId17" Type="http://schemas.openxmlformats.org/officeDocument/2006/relationships/ctrlProp" Target="../ctrlProps/ctrlProp80.xml" />
  <Relationship Id="rId2" Type="http://schemas.openxmlformats.org/officeDocument/2006/relationships/drawing" Target="../drawings/drawing5.xml" />
  <Relationship Id="rId16" Type="http://schemas.openxmlformats.org/officeDocument/2006/relationships/ctrlProp" Target="../ctrlProps/ctrlProp79.xml" />
  <Relationship Id="rId20" Type="http://schemas.openxmlformats.org/officeDocument/2006/relationships/ctrlProp" Target="../ctrlProps/ctrlProp83.xml" />
  <Relationship Id="rId1" Type="http://schemas.openxmlformats.org/officeDocument/2006/relationships/printerSettings" Target="../printerSettings/printerSettings6.bin" />
  <Relationship Id="rId6" Type="http://schemas.openxmlformats.org/officeDocument/2006/relationships/ctrlProp" Target="../ctrlProps/ctrlProp69.xml" />
  <Relationship Id="rId11" Type="http://schemas.openxmlformats.org/officeDocument/2006/relationships/ctrlProp" Target="../ctrlProps/ctrlProp74.xml" />
  <Relationship Id="rId5" Type="http://schemas.openxmlformats.org/officeDocument/2006/relationships/ctrlProp" Target="../ctrlProps/ctrlProp68.xml" />
  <Relationship Id="rId15" Type="http://schemas.openxmlformats.org/officeDocument/2006/relationships/ctrlProp" Target="../ctrlProps/ctrlProp78.xml" />
  <Relationship Id="rId10" Type="http://schemas.openxmlformats.org/officeDocument/2006/relationships/ctrlProp" Target="../ctrlProps/ctrlProp73.xml" />
  <Relationship Id="rId19" Type="http://schemas.openxmlformats.org/officeDocument/2006/relationships/ctrlProp" Target="../ctrlProps/ctrlProp82.xml" />
  <Relationship Id="rId4" Type="http://schemas.openxmlformats.org/officeDocument/2006/relationships/ctrlProp" Target="../ctrlProps/ctrlProp67.xml" />
  <Relationship Id="rId9" Type="http://schemas.openxmlformats.org/officeDocument/2006/relationships/ctrlProp" Target="../ctrlProps/ctrlProp72.xml" />
  <Relationship Id="rId14" Type="http://schemas.openxmlformats.org/officeDocument/2006/relationships/ctrlProp" Target="../ctrlProps/ctrlProp77.xml" />
</Relationships>
</file>

<file path=xl/worksheets/_rels/sheet7.xml.rels>&#65279;<?xml version="1.0" encoding="utf-8" standalone="yes"?>
<Relationships xmlns="http://schemas.openxmlformats.org/package/2006/relationships">
  <Relationship Id="rId8" Type="http://schemas.openxmlformats.org/officeDocument/2006/relationships/ctrlProp" Target="../ctrlProps/ctrlProp88.xml" />
  <Relationship Id="rId13" Type="http://schemas.openxmlformats.org/officeDocument/2006/relationships/ctrlProp" Target="../ctrlProps/ctrlProp93.xml" />
  <Relationship Id="rId18" Type="http://schemas.openxmlformats.org/officeDocument/2006/relationships/ctrlProp" Target="../ctrlProps/ctrlProp98.xml" />
  <Relationship Id="rId3" Type="http://schemas.openxmlformats.org/officeDocument/2006/relationships/vmlDrawing" Target="../drawings/vmlDrawing6.vml" />
  <Relationship Id="rId21" Type="http://schemas.openxmlformats.org/officeDocument/2006/relationships/comments" Target="../comments5.xml" />
  <Relationship Id="rId7" Type="http://schemas.openxmlformats.org/officeDocument/2006/relationships/ctrlProp" Target="../ctrlProps/ctrlProp87.xml" />
  <Relationship Id="rId12" Type="http://schemas.openxmlformats.org/officeDocument/2006/relationships/ctrlProp" Target="../ctrlProps/ctrlProp92.xml" />
  <Relationship Id="rId17" Type="http://schemas.openxmlformats.org/officeDocument/2006/relationships/ctrlProp" Target="../ctrlProps/ctrlProp97.xml" />
  <Relationship Id="rId2" Type="http://schemas.openxmlformats.org/officeDocument/2006/relationships/drawing" Target="../drawings/drawing6.xml" />
  <Relationship Id="rId16" Type="http://schemas.openxmlformats.org/officeDocument/2006/relationships/ctrlProp" Target="../ctrlProps/ctrlProp96.xml" />
  <Relationship Id="rId20" Type="http://schemas.openxmlformats.org/officeDocument/2006/relationships/ctrlProp" Target="../ctrlProps/ctrlProp100.xml" />
  <Relationship Id="rId1" Type="http://schemas.openxmlformats.org/officeDocument/2006/relationships/printerSettings" Target="../printerSettings/printerSettings7.bin" />
  <Relationship Id="rId6" Type="http://schemas.openxmlformats.org/officeDocument/2006/relationships/ctrlProp" Target="../ctrlProps/ctrlProp86.xml" />
  <Relationship Id="rId11" Type="http://schemas.openxmlformats.org/officeDocument/2006/relationships/ctrlProp" Target="../ctrlProps/ctrlProp91.xml" />
  <Relationship Id="rId5" Type="http://schemas.openxmlformats.org/officeDocument/2006/relationships/ctrlProp" Target="../ctrlProps/ctrlProp85.xml" />
  <Relationship Id="rId15" Type="http://schemas.openxmlformats.org/officeDocument/2006/relationships/ctrlProp" Target="../ctrlProps/ctrlProp95.xml" />
  <Relationship Id="rId10" Type="http://schemas.openxmlformats.org/officeDocument/2006/relationships/ctrlProp" Target="../ctrlProps/ctrlProp90.xml" />
  <Relationship Id="rId19" Type="http://schemas.openxmlformats.org/officeDocument/2006/relationships/ctrlProp" Target="../ctrlProps/ctrlProp99.xml" />
  <Relationship Id="rId4" Type="http://schemas.openxmlformats.org/officeDocument/2006/relationships/ctrlProp" Target="../ctrlProps/ctrlProp84.xml" />
  <Relationship Id="rId9" Type="http://schemas.openxmlformats.org/officeDocument/2006/relationships/ctrlProp" Target="../ctrlProps/ctrlProp89.xml" />
  <Relationship Id="rId14" Type="http://schemas.openxmlformats.org/officeDocument/2006/relationships/ctrlProp" Target="../ctrlProps/ctrlProp94.xml" />
</Relationships>
</file>

<file path=xl/worksheets/_rels/sheet8.xml.rels>&#65279;<?xml version="1.0" encoding="utf-8" standalone="yes"?>
<Relationships xmlns="http://schemas.openxmlformats.org/package/2006/relationships">
  <Relationship Id="rId8" Type="http://schemas.openxmlformats.org/officeDocument/2006/relationships/ctrlProp" Target="../ctrlProps/ctrlProp105.xml" />
  <Relationship Id="rId13" Type="http://schemas.openxmlformats.org/officeDocument/2006/relationships/ctrlProp" Target="../ctrlProps/ctrlProp110.xml" />
  <Relationship Id="rId18" Type="http://schemas.openxmlformats.org/officeDocument/2006/relationships/ctrlProp" Target="../ctrlProps/ctrlProp115.xml" />
  <Relationship Id="rId3" Type="http://schemas.openxmlformats.org/officeDocument/2006/relationships/vmlDrawing" Target="../drawings/vmlDrawing7.vml" />
  <Relationship Id="rId21" Type="http://schemas.openxmlformats.org/officeDocument/2006/relationships/comments" Target="../comments6.xml" />
  <Relationship Id="rId7" Type="http://schemas.openxmlformats.org/officeDocument/2006/relationships/ctrlProp" Target="../ctrlProps/ctrlProp104.xml" />
  <Relationship Id="rId12" Type="http://schemas.openxmlformats.org/officeDocument/2006/relationships/ctrlProp" Target="../ctrlProps/ctrlProp109.xml" />
  <Relationship Id="rId17" Type="http://schemas.openxmlformats.org/officeDocument/2006/relationships/ctrlProp" Target="../ctrlProps/ctrlProp114.xml" />
  <Relationship Id="rId2" Type="http://schemas.openxmlformats.org/officeDocument/2006/relationships/drawing" Target="../drawings/drawing7.xml" />
  <Relationship Id="rId16" Type="http://schemas.openxmlformats.org/officeDocument/2006/relationships/ctrlProp" Target="../ctrlProps/ctrlProp113.xml" />
  <Relationship Id="rId20" Type="http://schemas.openxmlformats.org/officeDocument/2006/relationships/ctrlProp" Target="../ctrlProps/ctrlProp117.xml" />
  <Relationship Id="rId1" Type="http://schemas.openxmlformats.org/officeDocument/2006/relationships/printerSettings" Target="../printerSettings/printerSettings8.bin" />
  <Relationship Id="rId6" Type="http://schemas.openxmlformats.org/officeDocument/2006/relationships/ctrlProp" Target="../ctrlProps/ctrlProp103.xml" />
  <Relationship Id="rId11" Type="http://schemas.openxmlformats.org/officeDocument/2006/relationships/ctrlProp" Target="../ctrlProps/ctrlProp108.xml" />
  <Relationship Id="rId5" Type="http://schemas.openxmlformats.org/officeDocument/2006/relationships/ctrlProp" Target="../ctrlProps/ctrlProp102.xml" />
  <Relationship Id="rId15" Type="http://schemas.openxmlformats.org/officeDocument/2006/relationships/ctrlProp" Target="../ctrlProps/ctrlProp112.xml" />
  <Relationship Id="rId10" Type="http://schemas.openxmlformats.org/officeDocument/2006/relationships/ctrlProp" Target="../ctrlProps/ctrlProp107.xml" />
  <Relationship Id="rId19" Type="http://schemas.openxmlformats.org/officeDocument/2006/relationships/ctrlProp" Target="../ctrlProps/ctrlProp116.xml" />
  <Relationship Id="rId4" Type="http://schemas.openxmlformats.org/officeDocument/2006/relationships/ctrlProp" Target="../ctrlProps/ctrlProp101.xml" />
  <Relationship Id="rId9" Type="http://schemas.openxmlformats.org/officeDocument/2006/relationships/ctrlProp" Target="../ctrlProps/ctrlProp106.xml" />
  <Relationship Id="rId14" Type="http://schemas.openxmlformats.org/officeDocument/2006/relationships/ctrlProp" Target="../ctrlProps/ctrlProp111.xml" />
</Relationships>
</file>

<file path=xl/worksheets/_rels/sheet9.xml.rels>&#65279;<?xml version="1.0" encoding="utf-8" standalone="yes"?>
<Relationships xmlns="http://schemas.openxmlformats.org/package/2006/relationships">
  <Relationship Id="rId8" Type="http://schemas.openxmlformats.org/officeDocument/2006/relationships/ctrlProp" Target="../ctrlProps/ctrlProp122.xml" />
  <Relationship Id="rId13" Type="http://schemas.openxmlformats.org/officeDocument/2006/relationships/ctrlProp" Target="../ctrlProps/ctrlProp127.xml" />
  <Relationship Id="rId18" Type="http://schemas.openxmlformats.org/officeDocument/2006/relationships/ctrlProp" Target="../ctrlProps/ctrlProp132.xml" />
  <Relationship Id="rId3" Type="http://schemas.openxmlformats.org/officeDocument/2006/relationships/vmlDrawing" Target="../drawings/vmlDrawing8.vml" />
  <Relationship Id="rId21" Type="http://schemas.openxmlformats.org/officeDocument/2006/relationships/comments" Target="../comments7.xml" />
  <Relationship Id="rId7" Type="http://schemas.openxmlformats.org/officeDocument/2006/relationships/ctrlProp" Target="../ctrlProps/ctrlProp121.xml" />
  <Relationship Id="rId12" Type="http://schemas.openxmlformats.org/officeDocument/2006/relationships/ctrlProp" Target="../ctrlProps/ctrlProp126.xml" />
  <Relationship Id="rId17" Type="http://schemas.openxmlformats.org/officeDocument/2006/relationships/ctrlProp" Target="../ctrlProps/ctrlProp131.xml" />
  <Relationship Id="rId2" Type="http://schemas.openxmlformats.org/officeDocument/2006/relationships/drawing" Target="../drawings/drawing8.xml" />
  <Relationship Id="rId16" Type="http://schemas.openxmlformats.org/officeDocument/2006/relationships/ctrlProp" Target="../ctrlProps/ctrlProp130.xml" />
  <Relationship Id="rId20" Type="http://schemas.openxmlformats.org/officeDocument/2006/relationships/ctrlProp" Target="../ctrlProps/ctrlProp134.xml" />
  <Relationship Id="rId1" Type="http://schemas.openxmlformats.org/officeDocument/2006/relationships/printerSettings" Target="../printerSettings/printerSettings9.bin" />
  <Relationship Id="rId6" Type="http://schemas.openxmlformats.org/officeDocument/2006/relationships/ctrlProp" Target="../ctrlProps/ctrlProp120.xml" />
  <Relationship Id="rId11" Type="http://schemas.openxmlformats.org/officeDocument/2006/relationships/ctrlProp" Target="../ctrlProps/ctrlProp125.xml" />
  <Relationship Id="rId5" Type="http://schemas.openxmlformats.org/officeDocument/2006/relationships/ctrlProp" Target="../ctrlProps/ctrlProp119.xml" />
  <Relationship Id="rId15" Type="http://schemas.openxmlformats.org/officeDocument/2006/relationships/ctrlProp" Target="../ctrlProps/ctrlProp129.xml" />
  <Relationship Id="rId10" Type="http://schemas.openxmlformats.org/officeDocument/2006/relationships/ctrlProp" Target="../ctrlProps/ctrlProp124.xml" />
  <Relationship Id="rId19" Type="http://schemas.openxmlformats.org/officeDocument/2006/relationships/ctrlProp" Target="../ctrlProps/ctrlProp133.xml" />
  <Relationship Id="rId4" Type="http://schemas.openxmlformats.org/officeDocument/2006/relationships/ctrlProp" Target="../ctrlProps/ctrlProp118.xml" />
  <Relationship Id="rId9" Type="http://schemas.openxmlformats.org/officeDocument/2006/relationships/ctrlProp" Target="../ctrlProps/ctrlProp123.xml" />
  <Relationship Id="rId14" Type="http://schemas.openxmlformats.org/officeDocument/2006/relationships/ctrlProp" Target="../ctrlProps/ctrlProp12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
  <sheetViews>
    <sheetView showGridLines="0" view="pageBreakPreview" topLeftCell="A7" zoomScaleNormal="100" zoomScaleSheetLayoutView="100" workbookViewId="0">
      <selection activeCell="C1" sqref="C1"/>
    </sheetView>
  </sheetViews>
  <sheetFormatPr defaultColWidth="9" defaultRowHeight="13.2" x14ac:dyDescent="0.2"/>
  <cols>
    <col min="1" max="1" width="4.77734375" style="85" customWidth="1"/>
    <col min="2" max="2" width="83.88671875" style="85" customWidth="1"/>
    <col min="3" max="3" width="9" style="85" customWidth="1"/>
    <col min="4" max="16384" width="9" style="85"/>
  </cols>
  <sheetData>
    <row r="1" spans="1:2" ht="25.5" customHeight="1" x14ac:dyDescent="0.2">
      <c r="A1" s="101" t="s">
        <v>197</v>
      </c>
      <c r="B1" s="101"/>
    </row>
    <row r="3" spans="1:2" ht="39.6" x14ac:dyDescent="0.2">
      <c r="A3" s="85" t="s">
        <v>198</v>
      </c>
      <c r="B3" s="86" t="s">
        <v>199</v>
      </c>
    </row>
    <row r="4" spans="1:2" ht="116.25" customHeight="1" x14ac:dyDescent="0.2">
      <c r="A4" s="87" t="s">
        <v>200</v>
      </c>
      <c r="B4" s="86" t="s">
        <v>229</v>
      </c>
    </row>
    <row r="5" spans="1:2" ht="118.8" x14ac:dyDescent="0.2">
      <c r="A5" s="87" t="s">
        <v>201</v>
      </c>
      <c r="B5" s="86" t="s">
        <v>202</v>
      </c>
    </row>
    <row r="6" spans="1:2" ht="52.8" x14ac:dyDescent="0.2">
      <c r="A6" s="88" t="s">
        <v>205</v>
      </c>
      <c r="B6" s="89" t="s">
        <v>230</v>
      </c>
    </row>
    <row r="8" spans="1:2" x14ac:dyDescent="0.2">
      <c r="A8" s="87" t="s">
        <v>231</v>
      </c>
      <c r="B8" s="85" t="s">
        <v>232</v>
      </c>
    </row>
  </sheetData>
  <sheetProtection algorithmName="SHA-512" hashValue="JyJGlNT6QGXK3ufrxanrLa5E7uL5NtNo/D5wt+0vm8ZrxqAeJrpUH2Qu+WZZYR9Pgn96RCd+AeBM0EoQHEDZDw==" saltValue="4th7msnWoXKUSGubTkXrdw==" spinCount="100000" sheet="1" objects="1" scenarios="1" selectLockedCells="1"/>
  <mergeCells count="1">
    <mergeCell ref="A1:B1"/>
  </mergeCells>
  <phoneticPr fontId="2"/>
  <pageMargins left="0.70866141732283472" right="0.70866141732283472" top="0.74803149606299213" bottom="0.74803149606299213" header="0.31496062992125984" footer="0.31496062992125984"/>
  <pageSetup paperSize="9" orientation="portrait" r:id="rId1"/>
  <headerFooter>
    <oddHeader>&amp;Rver. 1.8[H28]</oddHeader>
    <oddFooter>&amp;Cⓒ　2013 hyoukakyoukai.All right reserved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AO106"/>
  <sheetViews>
    <sheetView showGridLines="0" view="pageBreakPreview" topLeftCell="A22" zoomScaleNormal="100" zoomScaleSheetLayoutView="100" workbookViewId="0">
      <selection activeCell="B8" sqref="B8:C8"/>
    </sheetView>
  </sheetViews>
  <sheetFormatPr defaultColWidth="9" defaultRowHeight="13.2" x14ac:dyDescent="0.2"/>
  <cols>
    <col min="1" max="1" width="0.88671875" style="52" customWidth="1"/>
    <col min="2" max="10" width="3.88671875" style="52" customWidth="1"/>
    <col min="11" max="11" width="4.109375" style="52" customWidth="1"/>
    <col min="12" max="26" width="3.88671875" style="52" customWidth="1"/>
    <col min="27" max="27" width="5.44140625" style="52" customWidth="1"/>
    <col min="28"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115</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63">
        <f>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0.42799999999999999</v>
      </c>
      <c r="W4" s="364"/>
      <c r="X4" s="363">
        <f>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0.34100000000000003</v>
      </c>
      <c r="Y4" s="364"/>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10">IF(D12="","",AD12)</f>
        <v/>
      </c>
      <c r="W12" s="212"/>
      <c r="X12" s="188" t="str">
        <f t="shared" ref="X12:X13" si="11">IF(D12="","",IF(ISERROR(AE12),"-",AE12))</f>
        <v/>
      </c>
      <c r="Y12" s="212"/>
      <c r="Z12" s="188" t="str">
        <f t="shared" ref="Z12:Z13" si="12">IF(D12="","",D12*F12*AN12)</f>
        <v/>
      </c>
      <c r="AA12" s="189"/>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10"/>
        <v/>
      </c>
      <c r="W13" s="212"/>
      <c r="X13" s="188" t="str">
        <f t="shared" si="11"/>
        <v/>
      </c>
      <c r="Y13" s="212"/>
      <c r="Z13" s="188" t="str">
        <f t="shared" si="12"/>
        <v/>
      </c>
      <c r="AA13" s="189"/>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135</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149</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D31" s="40"/>
      <c r="AE31" s="40"/>
      <c r="AF31" s="40"/>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222"/>
      <c r="S33" s="222"/>
      <c r="T33" s="251"/>
      <c r="U33" s="251"/>
      <c r="V33" s="224" t="str">
        <f>IF(P33="","",IF(AD33=TRUE,0,P33*R33*0.034*$V$4))</f>
        <v/>
      </c>
      <c r="W33" s="224"/>
      <c r="X33" s="252" t="str">
        <f>IF(P33="","",IF(ISERROR(P33*R33*0.034*$X$4),"-",IF(AD33=TRUE,0,P33*R33*0.034*$X$4)))</f>
        <v/>
      </c>
      <c r="Y33" s="253"/>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20">IF(L34="","",L34-N34)</f>
        <v/>
      </c>
      <c r="Q34" s="186"/>
      <c r="R34" s="181"/>
      <c r="S34" s="182"/>
      <c r="T34" s="179"/>
      <c r="U34" s="180"/>
      <c r="V34" s="188" t="str">
        <f t="shared" ref="V34:V35" si="21">IF(P34="","",IF(AD34=TRUE,0,P34*R34*0.034*$V$4))</f>
        <v/>
      </c>
      <c r="W34" s="212"/>
      <c r="X34" s="188" t="str">
        <f t="shared" ref="X34:X35" si="22">IF(P34="","",IF(ISERROR(P34*R34*0.034*$X$4),"-",IF(AD34=TRUE,0,P34*R34*0.034*$X$4)))</f>
        <v/>
      </c>
      <c r="Y34" s="212"/>
      <c r="Z34" s="188" t="str">
        <f t="shared" ref="Z34:Z35" si="23">IF(R34="","",IF(AD34=TRUE,0.7*R34*P34,R34*P34))</f>
        <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136</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137</v>
      </c>
    </row>
    <row r="41" spans="2:32" s="37" customFormat="1" ht="21.9" customHeight="1" x14ac:dyDescent="0.2">
      <c r="B41" s="258" t="s">
        <v>108</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aPwsunfgSyv0x+JA2uE9nzPYvmUSF/a+Du97/sf4xDEBI0zowfAzSZ7UcqRMZUtkT57sFnBu1FrnJx4PDbkfjw==" saltValue="TDZh2QL4Jiyjlt5iPHAd/g=="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J38:U38"/>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R35:S35"/>
    <mergeCell ref="V34:W34"/>
    <mergeCell ref="V35:W35"/>
    <mergeCell ref="V33:W33"/>
    <mergeCell ref="R34:S34"/>
    <mergeCell ref="V27:W27"/>
    <mergeCell ref="X27:Y27"/>
    <mergeCell ref="Z27:AA27"/>
    <mergeCell ref="V28:W28"/>
    <mergeCell ref="X28:Y28"/>
    <mergeCell ref="Z28:AA28"/>
    <mergeCell ref="L31:M32"/>
    <mergeCell ref="N31:O32"/>
    <mergeCell ref="P31:Q32"/>
    <mergeCell ref="R31:S32"/>
    <mergeCell ref="T31:U32"/>
    <mergeCell ref="AN21:AO21"/>
    <mergeCell ref="N23:Q23"/>
    <mergeCell ref="R23:S24"/>
    <mergeCell ref="T23:U24"/>
    <mergeCell ref="V23:W24"/>
    <mergeCell ref="X23:Y24"/>
    <mergeCell ref="Z23:AA24"/>
    <mergeCell ref="AN23:AO23"/>
    <mergeCell ref="N24:O24"/>
    <mergeCell ref="P24:Q24"/>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R17:S17"/>
    <mergeCell ref="N16:O16"/>
    <mergeCell ref="P16:Q16"/>
    <mergeCell ref="R16:S16"/>
    <mergeCell ref="R18:S18"/>
    <mergeCell ref="T18:U18"/>
    <mergeCell ref="V18:W18"/>
    <mergeCell ref="B18:C18"/>
    <mergeCell ref="D18:E18"/>
    <mergeCell ref="F18:G18"/>
    <mergeCell ref="H18:I18"/>
    <mergeCell ref="J18:K18"/>
    <mergeCell ref="L18:M18"/>
    <mergeCell ref="N18:O18"/>
    <mergeCell ref="P18:Q18"/>
    <mergeCell ref="B16:C16"/>
    <mergeCell ref="D16:E16"/>
    <mergeCell ref="F16:G16"/>
    <mergeCell ref="H16:I16"/>
    <mergeCell ref="J16:K16"/>
    <mergeCell ref="L16:M16"/>
    <mergeCell ref="B17:C17"/>
    <mergeCell ref="D17:E17"/>
    <mergeCell ref="F17:G17"/>
    <mergeCell ref="H17:I17"/>
    <mergeCell ref="J17:K17"/>
    <mergeCell ref="L17:M17"/>
    <mergeCell ref="H10:I10"/>
    <mergeCell ref="B12:C12"/>
    <mergeCell ref="B13:C13"/>
    <mergeCell ref="D12:E12"/>
    <mergeCell ref="V14:W14"/>
    <mergeCell ref="X14:Y14"/>
    <mergeCell ref="T16:U16"/>
    <mergeCell ref="D13:E13"/>
    <mergeCell ref="F12:G12"/>
    <mergeCell ref="F13:G13"/>
    <mergeCell ref="H12:I12"/>
    <mergeCell ref="H13:I13"/>
    <mergeCell ref="J12:K12"/>
    <mergeCell ref="J13:K13"/>
    <mergeCell ref="V12:W12"/>
    <mergeCell ref="V13:W13"/>
    <mergeCell ref="P12:Q12"/>
    <mergeCell ref="P13:Q13"/>
    <mergeCell ref="R12:S12"/>
    <mergeCell ref="R13:S13"/>
    <mergeCell ref="T12:U12"/>
    <mergeCell ref="T15:U15"/>
    <mergeCell ref="V15:W15"/>
    <mergeCell ref="X15:Y15"/>
    <mergeCell ref="Z15:AA15"/>
    <mergeCell ref="B14:C14"/>
    <mergeCell ref="D14:E14"/>
    <mergeCell ref="F14:G14"/>
    <mergeCell ref="H14:I14"/>
    <mergeCell ref="T14:U14"/>
    <mergeCell ref="J14:K14"/>
    <mergeCell ref="L14:M14"/>
    <mergeCell ref="N14:O14"/>
    <mergeCell ref="P14:Q14"/>
    <mergeCell ref="B15:C15"/>
    <mergeCell ref="D15:E15"/>
    <mergeCell ref="F15:G15"/>
    <mergeCell ref="H15:I15"/>
    <mergeCell ref="J15:K15"/>
    <mergeCell ref="L15:M15"/>
    <mergeCell ref="N15:O15"/>
    <mergeCell ref="P15:Q15"/>
    <mergeCell ref="R15:S15"/>
    <mergeCell ref="B8:C8"/>
    <mergeCell ref="D8:E8"/>
    <mergeCell ref="F8:G8"/>
    <mergeCell ref="H8:I8"/>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B9:C9"/>
    <mergeCell ref="D9:E9"/>
    <mergeCell ref="F9:G9"/>
    <mergeCell ref="H9:I9"/>
    <mergeCell ref="J9:K9"/>
    <mergeCell ref="L9:M9"/>
    <mergeCell ref="N9:O9"/>
    <mergeCell ref="P9:Q9"/>
    <mergeCell ref="R9:S9"/>
    <mergeCell ref="AH6:AI6"/>
    <mergeCell ref="AK6:AL6"/>
    <mergeCell ref="AN6:AO6"/>
    <mergeCell ref="P7:Q7"/>
    <mergeCell ref="R7:S7"/>
    <mergeCell ref="T7:U7"/>
    <mergeCell ref="V5:W7"/>
    <mergeCell ref="X5:Y7"/>
    <mergeCell ref="Z5:AA7"/>
    <mergeCell ref="T8:U8"/>
    <mergeCell ref="V8:W8"/>
    <mergeCell ref="J10:K10"/>
    <mergeCell ref="L10:M10"/>
    <mergeCell ref="N10:O10"/>
    <mergeCell ref="P10:Q10"/>
    <mergeCell ref="R10:S10"/>
    <mergeCell ref="X8:Y8"/>
    <mergeCell ref="AD6:AE6"/>
    <mergeCell ref="Z8:AA8"/>
    <mergeCell ref="T9:U9"/>
    <mergeCell ref="V9:W9"/>
    <mergeCell ref="X9:Y9"/>
    <mergeCell ref="Z9:AA9"/>
    <mergeCell ref="N8:O8"/>
    <mergeCell ref="P8:Q8"/>
    <mergeCell ref="T10:U10"/>
    <mergeCell ref="J8:K8"/>
    <mergeCell ref="L8:M8"/>
    <mergeCell ref="R8:S8"/>
    <mergeCell ref="B2:AA2"/>
    <mergeCell ref="R4:U4"/>
    <mergeCell ref="V4:W4"/>
    <mergeCell ref="X4:Y4"/>
    <mergeCell ref="B5:C7"/>
    <mergeCell ref="D5:G5"/>
    <mergeCell ref="H5:I7"/>
    <mergeCell ref="J5:K7"/>
    <mergeCell ref="L5:M7"/>
    <mergeCell ref="N5:U5"/>
    <mergeCell ref="D6:E7"/>
    <mergeCell ref="F6:G7"/>
    <mergeCell ref="N6:O7"/>
    <mergeCell ref="P6:U6"/>
    <mergeCell ref="J25:M25"/>
    <mergeCell ref="L36:M36"/>
    <mergeCell ref="N36:O36"/>
    <mergeCell ref="P36:Q36"/>
    <mergeCell ref="J36:K36"/>
    <mergeCell ref="J33:K33"/>
    <mergeCell ref="J31:K32"/>
    <mergeCell ref="J28:U28"/>
    <mergeCell ref="N27:O27"/>
    <mergeCell ref="P27:Q27"/>
    <mergeCell ref="R27:S27"/>
    <mergeCell ref="T27:U27"/>
    <mergeCell ref="L33:M33"/>
    <mergeCell ref="N33:O33"/>
    <mergeCell ref="P33:Q33"/>
    <mergeCell ref="R33:S33"/>
    <mergeCell ref="T33:U33"/>
    <mergeCell ref="L35:M35"/>
    <mergeCell ref="N34:O34"/>
    <mergeCell ref="N35:O35"/>
    <mergeCell ref="P34:Q34"/>
    <mergeCell ref="P35:Q35"/>
    <mergeCell ref="N12:O12"/>
    <mergeCell ref="N13:O13"/>
    <mergeCell ref="T34:U34"/>
    <mergeCell ref="T35:U35"/>
    <mergeCell ref="L12:M12"/>
    <mergeCell ref="L13:M13"/>
    <mergeCell ref="T26:U26"/>
    <mergeCell ref="R26:S26"/>
    <mergeCell ref="P26:Q26"/>
    <mergeCell ref="N26:O26"/>
    <mergeCell ref="J26:M26"/>
    <mergeCell ref="J34:K34"/>
    <mergeCell ref="J35:K35"/>
    <mergeCell ref="L34:M34"/>
    <mergeCell ref="J27:M27"/>
    <mergeCell ref="N25:O25"/>
    <mergeCell ref="T17:U17"/>
    <mergeCell ref="N17:O17"/>
    <mergeCell ref="P17:Q17"/>
    <mergeCell ref="T13:U13"/>
    <mergeCell ref="P25:Q25"/>
    <mergeCell ref="R25:S25"/>
    <mergeCell ref="T25:U25"/>
    <mergeCell ref="J23:M24"/>
    <mergeCell ref="Z12:AA12"/>
    <mergeCell ref="Z13:AA13"/>
    <mergeCell ref="Z26:AA26"/>
    <mergeCell ref="X26:Y26"/>
    <mergeCell ref="V26:W26"/>
    <mergeCell ref="Z18:AA18"/>
    <mergeCell ref="X18:Y18"/>
    <mergeCell ref="V16:W16"/>
    <mergeCell ref="X16:Y16"/>
    <mergeCell ref="Z16:AA16"/>
    <mergeCell ref="X19:Y19"/>
    <mergeCell ref="Z19:AA19"/>
    <mergeCell ref="V25:W25"/>
    <mergeCell ref="X25:Y25"/>
    <mergeCell ref="Z25:AA25"/>
    <mergeCell ref="V17:W17"/>
    <mergeCell ref="X17:Y17"/>
    <mergeCell ref="Z17:AA17"/>
    <mergeCell ref="X12:Y12"/>
    <mergeCell ref="X13:Y13"/>
    <mergeCell ref="Z14:AA14"/>
  </mergeCells>
  <phoneticPr fontId="2"/>
  <conditionalFormatting sqref="V20:W20">
    <cfRule type="expression" dxfId="44" priority="53" stopIfTrue="1">
      <formula>$V$20=0</formula>
    </cfRule>
  </conditionalFormatting>
  <conditionalFormatting sqref="X20:Y20">
    <cfRule type="expression" dxfId="43" priority="52" stopIfTrue="1">
      <formula>$X$20=0</formula>
    </cfRule>
  </conditionalFormatting>
  <conditionalFormatting sqref="Z20:AA20">
    <cfRule type="expression" dxfId="42" priority="51" stopIfTrue="1">
      <formula>$Z$20=0</formula>
    </cfRule>
  </conditionalFormatting>
  <conditionalFormatting sqref="V28:W28">
    <cfRule type="expression" dxfId="41" priority="50" stopIfTrue="1">
      <formula>$V$28:$W$28=0</formula>
    </cfRule>
  </conditionalFormatting>
  <conditionalFormatting sqref="V38:W38">
    <cfRule type="expression" dxfId="40" priority="49" stopIfTrue="1">
      <formula>$V$38:$W$38=0</formula>
    </cfRule>
  </conditionalFormatting>
  <conditionalFormatting sqref="Y41:Z41">
    <cfRule type="expression" dxfId="39" priority="48" stopIfTrue="1">
      <formula>$Y$41=0</formula>
    </cfRule>
  </conditionalFormatting>
  <conditionalFormatting sqref="Q41:R41">
    <cfRule type="expression" dxfId="38" priority="47" stopIfTrue="1">
      <formula>$Q$41=0</formula>
    </cfRule>
  </conditionalFormatting>
  <conditionalFormatting sqref="U41:V41">
    <cfRule type="expression" dxfId="37" priority="46" stopIfTrue="1">
      <formula>$U$41=0</formula>
    </cfRule>
  </conditionalFormatting>
  <conditionalFormatting sqref="L41:N41">
    <cfRule type="expression" dxfId="36" priority="45" stopIfTrue="1">
      <formula>$L$41=0</formula>
    </cfRule>
  </conditionalFormatting>
  <conditionalFormatting sqref="X8:Y8">
    <cfRule type="expression" dxfId="35" priority="43" stopIfTrue="1">
      <formula>#VALUE!</formula>
    </cfRule>
    <cfRule type="expression" dxfId="34" priority="44" stopIfTrue="1">
      <formula>#VALUE!</formula>
    </cfRule>
  </conditionalFormatting>
  <conditionalFormatting sqref="X19:Y19">
    <cfRule type="expression" dxfId="33" priority="42" stopIfTrue="1">
      <formula>#VALUE!</formula>
    </cfRule>
  </conditionalFormatting>
  <conditionalFormatting sqref="X8:Y8">
    <cfRule type="expression" dxfId="32" priority="30" stopIfTrue="1">
      <formula>#VALUE!</formula>
    </cfRule>
    <cfRule type="expression" dxfId="31" priority="31" stopIfTrue="1">
      <formula>#VALUE!</formula>
    </cfRule>
  </conditionalFormatting>
  <conditionalFormatting sqref="X19:Y19">
    <cfRule type="expression" dxfId="30" priority="29" stopIfTrue="1">
      <formula>#VALUE!</formula>
    </cfRule>
  </conditionalFormatting>
  <conditionalFormatting sqref="X28:Y28">
    <cfRule type="expression" dxfId="29" priority="28" stopIfTrue="1">
      <formula>$X$28:$Y$28=0</formula>
    </cfRule>
  </conditionalFormatting>
  <conditionalFormatting sqref="Z28:AA28">
    <cfRule type="expression" dxfId="28" priority="27" stopIfTrue="1">
      <formula>$Z$28:$AA$28=0</formula>
    </cfRule>
  </conditionalFormatting>
  <conditionalFormatting sqref="X38:Y38">
    <cfRule type="expression" dxfId="27" priority="26" stopIfTrue="1">
      <formula>$X$38:$Y$38=0</formula>
    </cfRule>
  </conditionalFormatting>
  <conditionalFormatting sqref="Z38:AA38">
    <cfRule type="expression" dxfId="26" priority="25" stopIfTrue="1">
      <formula>$Z$38:$AA$38=0</formula>
    </cfRule>
  </conditionalFormatting>
  <conditionalFormatting sqref="P8:U8">
    <cfRule type="expression" dxfId="25" priority="14" stopIfTrue="1">
      <formula>$AG$8=TRUE</formula>
    </cfRule>
  </conditionalFormatting>
  <conditionalFormatting sqref="P15:U15">
    <cfRule type="expression" dxfId="24" priority="13" stopIfTrue="1">
      <formula>$AG$15=TRUE</formula>
    </cfRule>
  </conditionalFormatting>
  <conditionalFormatting sqref="P16:U16">
    <cfRule type="expression" dxfId="23" priority="12" stopIfTrue="1">
      <formula>$AG$16=TRUE</formula>
    </cfRule>
  </conditionalFormatting>
  <conditionalFormatting sqref="P17:U17">
    <cfRule type="expression" dxfId="22" priority="11" stopIfTrue="1">
      <formula>$AG$17=TRUE</formula>
    </cfRule>
  </conditionalFormatting>
  <conditionalFormatting sqref="P18:U18">
    <cfRule type="expression" dxfId="21" priority="10" stopIfTrue="1">
      <formula>$AG$18=TRUE</formula>
    </cfRule>
  </conditionalFormatting>
  <conditionalFormatting sqref="P19:U19">
    <cfRule type="expression" dxfId="20" priority="9" stopIfTrue="1">
      <formula>$AG$19=TRUE</formula>
    </cfRule>
  </conditionalFormatting>
  <conditionalFormatting sqref="P10:U10">
    <cfRule type="expression" dxfId="19" priority="8" stopIfTrue="1">
      <formula>$AG$10=TRUE</formula>
    </cfRule>
  </conditionalFormatting>
  <conditionalFormatting sqref="P11:U11">
    <cfRule type="expression" dxfId="18" priority="7" stopIfTrue="1">
      <formula>$AG$11=TRUE</formula>
    </cfRule>
  </conditionalFormatting>
  <conditionalFormatting sqref="P14:U14">
    <cfRule type="expression" dxfId="17" priority="6" stopIfTrue="1">
      <formula>$AG$14=TRUE</formula>
    </cfRule>
  </conditionalFormatting>
  <conditionalFormatting sqref="P9:U9">
    <cfRule type="expression" dxfId="16" priority="5" stopIfTrue="1">
      <formula>$AG$9=TRUE</formula>
    </cfRule>
  </conditionalFormatting>
  <conditionalFormatting sqref="P12:U12">
    <cfRule type="expression" dxfId="15" priority="2">
      <formula>$AG$12=TRUE</formula>
    </cfRule>
  </conditionalFormatting>
  <conditionalFormatting sqref="P13:U13">
    <cfRule type="expression" dxfId="14"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4470"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4471"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4472"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4481"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4482"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4484"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4485"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H138"/>
  <sheetViews>
    <sheetView showGridLines="0" view="pageBreakPreview" topLeftCell="A16" zoomScaleNormal="100" zoomScaleSheetLayoutView="100" workbookViewId="0">
      <selection activeCell="L20" sqref="L20:M20"/>
    </sheetView>
  </sheetViews>
  <sheetFormatPr defaultRowHeight="13.2" x14ac:dyDescent="0.2"/>
  <cols>
    <col min="1" max="1" width="0.6640625" customWidth="1"/>
    <col min="2" max="19" width="3.88671875" customWidth="1"/>
    <col min="20" max="29" width="3.6640625" customWidth="1"/>
    <col min="30" max="31" width="11" hidden="1" customWidth="1"/>
    <col min="32" max="32" width="3.6640625" hidden="1" customWidth="1"/>
    <col min="33" max="34" width="9.88671875" hidden="1" customWidth="1"/>
    <col min="35" max="53" width="3.6640625" customWidth="1"/>
  </cols>
  <sheetData>
    <row r="1" spans="2:34" ht="3.75" customHeight="1" x14ac:dyDescent="0.2"/>
    <row r="2" spans="2:34" ht="30" customHeight="1" x14ac:dyDescent="0.2">
      <c r="B2" s="365" t="s">
        <v>57</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5"/>
      <c r="AC2" s="35"/>
    </row>
    <row r="3" spans="2:34" ht="20.100000000000001" customHeight="1" x14ac:dyDescent="0.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34" ht="20.100000000000001" customHeight="1" thickBot="1" x14ac:dyDescent="0.25">
      <c r="B4" s="4" t="s">
        <v>55</v>
      </c>
      <c r="C4" s="2"/>
      <c r="D4" s="2"/>
      <c r="E4" s="2"/>
      <c r="F4" s="2"/>
      <c r="G4" s="2"/>
      <c r="H4" s="2"/>
      <c r="I4" s="2"/>
      <c r="J4" s="2"/>
      <c r="K4" s="2"/>
      <c r="L4" s="2"/>
      <c r="M4" s="2"/>
      <c r="N4" s="2"/>
      <c r="O4" s="2"/>
      <c r="P4" s="2"/>
      <c r="Q4" s="2"/>
      <c r="R4" s="2"/>
      <c r="S4" s="2"/>
      <c r="T4" s="28"/>
      <c r="U4" s="28"/>
      <c r="V4" s="28"/>
      <c r="W4" s="28"/>
      <c r="X4" s="6"/>
      <c r="Y4" s="6"/>
      <c r="Z4" s="6"/>
      <c r="AA4" s="6"/>
      <c r="AB4" s="2"/>
      <c r="AC4" s="2"/>
    </row>
    <row r="5" spans="2:34" ht="20.100000000000001" customHeight="1" x14ac:dyDescent="0.2">
      <c r="B5" s="366" t="s">
        <v>6</v>
      </c>
      <c r="C5" s="367"/>
      <c r="D5" s="367" t="s">
        <v>91</v>
      </c>
      <c r="E5" s="367"/>
      <c r="F5" s="367"/>
      <c r="G5" s="367"/>
      <c r="H5" s="367" t="s">
        <v>7</v>
      </c>
      <c r="I5" s="367"/>
      <c r="J5" s="370" t="s">
        <v>193</v>
      </c>
      <c r="K5" s="367"/>
      <c r="L5" s="371" t="s">
        <v>10</v>
      </c>
      <c r="M5" s="372"/>
      <c r="N5" s="370" t="s">
        <v>68</v>
      </c>
      <c r="O5" s="367"/>
      <c r="P5" s="370" t="s">
        <v>67</v>
      </c>
      <c r="Q5" s="367"/>
      <c r="R5" s="367" t="s">
        <v>13</v>
      </c>
      <c r="S5" s="374"/>
      <c r="T5" s="29"/>
      <c r="U5" s="28"/>
      <c r="V5" s="28"/>
      <c r="W5" s="28"/>
      <c r="X5" s="24"/>
      <c r="Y5" s="24"/>
      <c r="Z5" s="24"/>
      <c r="AA5" s="24"/>
      <c r="AD5" s="27" t="s">
        <v>88</v>
      </c>
      <c r="AE5" s="27"/>
      <c r="AG5" s="2" t="s">
        <v>14</v>
      </c>
      <c r="AH5" s="2"/>
    </row>
    <row r="6" spans="2:34" ht="20.100000000000001" customHeight="1" thickBot="1" x14ac:dyDescent="0.25">
      <c r="B6" s="368"/>
      <c r="C6" s="369"/>
      <c r="D6" s="376" t="s">
        <v>9</v>
      </c>
      <c r="E6" s="377"/>
      <c r="F6" s="378" t="s">
        <v>8</v>
      </c>
      <c r="G6" s="369"/>
      <c r="H6" s="369"/>
      <c r="I6" s="369"/>
      <c r="J6" s="369"/>
      <c r="K6" s="369"/>
      <c r="L6" s="373"/>
      <c r="M6" s="373"/>
      <c r="N6" s="369"/>
      <c r="O6" s="369"/>
      <c r="P6" s="369"/>
      <c r="Q6" s="369"/>
      <c r="R6" s="369"/>
      <c r="S6" s="375"/>
      <c r="T6" s="30"/>
      <c r="U6" s="31"/>
      <c r="V6" s="31"/>
      <c r="W6" s="31"/>
      <c r="X6" s="24"/>
      <c r="Y6" s="24"/>
      <c r="Z6" s="24"/>
      <c r="AA6" s="24"/>
      <c r="AD6" s="27" t="s">
        <v>86</v>
      </c>
      <c r="AE6" s="27" t="s">
        <v>84</v>
      </c>
      <c r="AG6" s="2" t="s">
        <v>4</v>
      </c>
      <c r="AH6" s="2" t="s">
        <v>18</v>
      </c>
    </row>
    <row r="7" spans="2:34" ht="20.100000000000001" customHeight="1" x14ac:dyDescent="0.2">
      <c r="B7" s="379"/>
      <c r="C7" s="380"/>
      <c r="D7" s="278"/>
      <c r="E7" s="220"/>
      <c r="F7" s="220"/>
      <c r="G7" s="221"/>
      <c r="H7" s="222"/>
      <c r="I7" s="222"/>
      <c r="J7" s="222"/>
      <c r="K7" s="222"/>
      <c r="L7" s="296" t="s">
        <v>65</v>
      </c>
      <c r="M7" s="296"/>
      <c r="N7" s="381" t="str">
        <f>IF(D7="","",D7*F7*J7*AG7)</f>
        <v/>
      </c>
      <c r="O7" s="381"/>
      <c r="P7" s="382" t="str">
        <f>IF(D7="","",IF(共通条件・結果!$AA$7="８地域","-",D7*F7*J7*AH7))</f>
        <v/>
      </c>
      <c r="Q7" s="382"/>
      <c r="R7" s="381" t="str">
        <f>IF(D7="","",D7*F7*AD7)</f>
        <v/>
      </c>
      <c r="S7" s="383"/>
      <c r="T7" s="53"/>
      <c r="U7" s="41"/>
      <c r="V7" s="41"/>
      <c r="W7" s="41"/>
      <c r="X7" s="24"/>
      <c r="Y7" s="24"/>
      <c r="Z7" s="24"/>
      <c r="AA7" s="24"/>
      <c r="AD7" s="27">
        <f>IF(共通条件・結果!$AA$7="８地域",H7,IF(AE7="FALSE",H7,0.5*H7+0.5*(1/((1/H7)+AE7))))</f>
        <v>0</v>
      </c>
      <c r="AE7" s="26" t="str">
        <f>IF(D7="","FALSE",IF(L7="雨戸",0.1,IF(L7="ｼｬｯﾀｰ",0.1,IF(L7="障子",0.18))))</f>
        <v>FALSE</v>
      </c>
      <c r="AG7"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7"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8" spans="2:34" ht="20.100000000000001" customHeight="1" x14ac:dyDescent="0.2">
      <c r="B8" s="384"/>
      <c r="C8" s="385"/>
      <c r="D8" s="298"/>
      <c r="E8" s="299"/>
      <c r="F8" s="299"/>
      <c r="G8" s="300"/>
      <c r="H8" s="213"/>
      <c r="I8" s="213"/>
      <c r="J8" s="213"/>
      <c r="K8" s="213"/>
      <c r="L8" s="235" t="s">
        <v>65</v>
      </c>
      <c r="M8" s="235"/>
      <c r="N8" s="386" t="str">
        <f>IF(D8="","",D8*F8*J8*AG8)</f>
        <v/>
      </c>
      <c r="O8" s="386"/>
      <c r="P8" s="386" t="str">
        <f>IF(D8="","",IF(共通条件・結果!$AA$7="８地域","-",D8*F8*J8*AH8))</f>
        <v/>
      </c>
      <c r="Q8" s="386"/>
      <c r="R8" s="386" t="str">
        <f>IF(D8="","",D8*F8*AD8)</f>
        <v/>
      </c>
      <c r="S8" s="387"/>
      <c r="T8" s="54"/>
      <c r="U8" s="34"/>
      <c r="V8" s="34"/>
      <c r="W8" s="34"/>
      <c r="X8" s="24"/>
      <c r="Y8" s="24"/>
      <c r="Z8" s="24"/>
      <c r="AA8" s="24"/>
      <c r="AD8" s="27">
        <f>IF(共通条件・結果!$AA$7="８地域",H8,IF(AE8="FALSE",H8,0.5*H8+0.5*(1/((1/H8)+AE8))))</f>
        <v>0</v>
      </c>
      <c r="AE8" s="26" t="str">
        <f>IF(D8="","FALSE",IF(L8="雨戸",0.1,IF(L8="ｼｬｯﾀｰ",0.1,IF(L8="障子",0.18))))</f>
        <v>FALSE</v>
      </c>
      <c r="AG8"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8"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9" spans="2:34" ht="20.100000000000001" customHeight="1" x14ac:dyDescent="0.2">
      <c r="B9" s="384"/>
      <c r="C9" s="385"/>
      <c r="D9" s="298"/>
      <c r="E9" s="299"/>
      <c r="F9" s="299"/>
      <c r="G9" s="300"/>
      <c r="H9" s="213"/>
      <c r="I9" s="213"/>
      <c r="J9" s="213"/>
      <c r="K9" s="213"/>
      <c r="L9" s="235" t="s">
        <v>65</v>
      </c>
      <c r="M9" s="235"/>
      <c r="N9" s="386" t="str">
        <f>IF(D9="","",D9*F9*J9*AG9)</f>
        <v/>
      </c>
      <c r="O9" s="386"/>
      <c r="P9" s="386" t="str">
        <f>IF(D9="","",IF(共通条件・結果!$AA$7="８地域","-",D9*F9*J9*AH9))</f>
        <v/>
      </c>
      <c r="Q9" s="386"/>
      <c r="R9" s="386" t="str">
        <f>IF(D9="","",D9*F9*AD9)</f>
        <v/>
      </c>
      <c r="S9" s="387"/>
      <c r="T9" s="54"/>
      <c r="U9" s="34"/>
      <c r="V9" s="34"/>
      <c r="W9" s="34"/>
      <c r="X9" s="24"/>
      <c r="Y9" s="24"/>
      <c r="Z9" s="24"/>
      <c r="AA9" s="24"/>
      <c r="AD9" s="27">
        <f>IF(共通条件・結果!$AA$7="８地域",H9,IF(AE9="FALSE",H9,0.5*H9+0.5*(1/((1/H9)+AE9))))</f>
        <v>0</v>
      </c>
      <c r="AE9" s="26" t="str">
        <f>IF(D9="","FALSE",IF(L9="雨戸",0.1,IF(L9="ｼｬｯﾀｰ",0.1,IF(L9="障子",0.18))))</f>
        <v>FALSE</v>
      </c>
      <c r="AG9"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9"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0" spans="2:34" ht="20.100000000000001" customHeight="1" x14ac:dyDescent="0.2">
      <c r="B10" s="384"/>
      <c r="C10" s="385"/>
      <c r="D10" s="298"/>
      <c r="E10" s="299"/>
      <c r="F10" s="299"/>
      <c r="G10" s="300"/>
      <c r="H10" s="213"/>
      <c r="I10" s="213"/>
      <c r="J10" s="213"/>
      <c r="K10" s="213"/>
      <c r="L10" s="235" t="s">
        <v>65</v>
      </c>
      <c r="M10" s="235"/>
      <c r="N10" s="386" t="str">
        <f>IF(D10="","",D10*F10*J10*AG10)</f>
        <v/>
      </c>
      <c r="O10" s="386"/>
      <c r="P10" s="386" t="str">
        <f>IF(D10="","",IF(共通条件・結果!$AA$7="８地域","-",D10*F10*J10*AH10))</f>
        <v/>
      </c>
      <c r="Q10" s="386"/>
      <c r="R10" s="386" t="str">
        <f>IF(D10="","",D10*F10*AD10)</f>
        <v/>
      </c>
      <c r="S10" s="387"/>
      <c r="T10" s="53"/>
      <c r="U10" s="41"/>
      <c r="V10" s="41"/>
      <c r="W10" s="41"/>
      <c r="X10" s="24"/>
      <c r="Y10" s="24"/>
      <c r="Z10" s="24"/>
      <c r="AA10" s="24"/>
      <c r="AD10" s="27">
        <f>IF(共通条件・結果!$AA$7="８地域",H10,IF(AE10="FALSE",H10,0.5*H10+0.5*(1/((1/H10)+AE10))))</f>
        <v>0</v>
      </c>
      <c r="AE10" s="26" t="str">
        <f>IF(D10="","FALSE",IF(L10="雨戸",0.1,IF(L10="ｼｬｯﾀｰ",0.1,IF(L10="障子",0.18))))</f>
        <v>FALSE</v>
      </c>
      <c r="AG10"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10"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1" spans="2:34" ht="20.100000000000001" customHeight="1" thickBot="1" x14ac:dyDescent="0.25">
      <c r="B11" s="388"/>
      <c r="C11" s="389"/>
      <c r="D11" s="298"/>
      <c r="E11" s="299"/>
      <c r="F11" s="299"/>
      <c r="G11" s="300"/>
      <c r="H11" s="213"/>
      <c r="I11" s="213"/>
      <c r="J11" s="213"/>
      <c r="K11" s="213"/>
      <c r="L11" s="296"/>
      <c r="M11" s="296"/>
      <c r="N11" s="381" t="str">
        <f>IF(D11="","",D11*F11*J11*AG11)</f>
        <v/>
      </c>
      <c r="O11" s="381"/>
      <c r="P11" s="390" t="str">
        <f>IF(D11="","",IF(共通条件・結果!$AA$7="８地域","-",D11*F11*J11*AH11))</f>
        <v/>
      </c>
      <c r="Q11" s="390"/>
      <c r="R11" s="386" t="str">
        <f>IF(D11="","",D11*F11*AD11)</f>
        <v/>
      </c>
      <c r="S11" s="387"/>
      <c r="T11" s="53"/>
      <c r="U11" s="41"/>
      <c r="V11" s="41"/>
      <c r="W11" s="41"/>
      <c r="X11" s="24"/>
      <c r="Y11" s="24"/>
      <c r="Z11" s="24"/>
      <c r="AA11" s="24"/>
      <c r="AD11" s="27">
        <f>IF(共通条件・結果!$AA$7="８地域",H11,IF(AE11="FALSE",H11,0.5*H11+0.5*(1/((1/H11)+AE11))))</f>
        <v>0</v>
      </c>
      <c r="AE11" s="26" t="str">
        <f>IF(D11="","FALSE",IF(L11="雨戸",0.1,IF(L11="ｼｬｯﾀｰ",0.1,IF(L11="障子",0.18))))</f>
        <v>FALSE</v>
      </c>
      <c r="AG11"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11"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2" spans="2:34" ht="20.100000000000001" customHeight="1" thickBot="1" x14ac:dyDescent="0.25">
      <c r="B12" s="391" t="s">
        <v>139</v>
      </c>
      <c r="C12" s="392"/>
      <c r="D12" s="392"/>
      <c r="E12" s="392"/>
      <c r="F12" s="392"/>
      <c r="G12" s="392"/>
      <c r="H12" s="392"/>
      <c r="I12" s="392"/>
      <c r="J12" s="392"/>
      <c r="K12" s="392"/>
      <c r="L12" s="392"/>
      <c r="M12" s="393"/>
      <c r="N12" s="394">
        <f>SUM(N7:O11)</f>
        <v>0</v>
      </c>
      <c r="O12" s="394"/>
      <c r="P12" s="394">
        <f>SUM(P7:Q11)</f>
        <v>0</v>
      </c>
      <c r="Q12" s="394"/>
      <c r="R12" s="394">
        <f>SUM(R7:S11)</f>
        <v>0</v>
      </c>
      <c r="S12" s="395"/>
      <c r="T12" s="55"/>
      <c r="U12" s="56"/>
      <c r="V12" s="56"/>
      <c r="W12" s="56"/>
      <c r="X12" s="24"/>
      <c r="Y12" s="24"/>
      <c r="Z12" s="24"/>
      <c r="AA12" s="24"/>
      <c r="AD12" s="27"/>
      <c r="AE12" s="26"/>
    </row>
    <row r="13" spans="2:34" ht="20.100000000000001" customHeight="1" x14ac:dyDescent="0.2">
      <c r="B13" s="37"/>
      <c r="C13" s="37"/>
      <c r="D13" s="37"/>
      <c r="E13" s="37"/>
      <c r="F13" s="37"/>
      <c r="G13" s="37"/>
      <c r="H13" s="37"/>
      <c r="I13" s="37"/>
      <c r="J13" s="37"/>
      <c r="K13" s="37"/>
      <c r="L13" s="37"/>
      <c r="M13" s="37"/>
      <c r="N13" s="37"/>
      <c r="O13" s="37"/>
      <c r="P13" s="37"/>
      <c r="Q13" s="37"/>
      <c r="R13" s="37"/>
      <c r="S13" s="37"/>
      <c r="T13" s="37"/>
      <c r="U13" s="37"/>
      <c r="V13" s="37"/>
      <c r="W13" s="37"/>
      <c r="X13" s="2"/>
      <c r="Y13" s="2"/>
      <c r="Z13" s="2"/>
      <c r="AA13" s="2"/>
      <c r="AB13" s="2"/>
      <c r="AC13" s="2"/>
      <c r="AD13" s="27"/>
      <c r="AE13" s="26"/>
    </row>
    <row r="14" spans="2:34" ht="20.100000000000001" customHeight="1" thickBot="1" x14ac:dyDescent="0.25">
      <c r="B14" s="38" t="s">
        <v>58</v>
      </c>
      <c r="C14" s="37"/>
      <c r="D14" s="37"/>
      <c r="E14" s="37"/>
      <c r="F14" s="37"/>
      <c r="G14" s="37"/>
      <c r="H14" s="37"/>
      <c r="I14" s="37"/>
      <c r="J14" s="37"/>
      <c r="K14" s="37"/>
      <c r="L14" s="37"/>
      <c r="M14" s="37"/>
      <c r="N14" s="37"/>
      <c r="O14" s="37"/>
      <c r="P14" s="37"/>
      <c r="Q14" s="37"/>
      <c r="R14" s="37"/>
      <c r="S14" s="37"/>
      <c r="T14" s="37"/>
      <c r="U14" s="37"/>
      <c r="V14" s="37"/>
      <c r="W14" s="37"/>
      <c r="X14" s="2"/>
      <c r="Y14" s="2"/>
      <c r="Z14" s="2"/>
      <c r="AA14" s="2"/>
      <c r="AB14" s="2"/>
      <c r="AC14" s="2"/>
    </row>
    <row r="15" spans="2:34" ht="20.100000000000001" customHeight="1" x14ac:dyDescent="0.2">
      <c r="B15" s="396" t="s">
        <v>0</v>
      </c>
      <c r="C15" s="397"/>
      <c r="D15" s="370" t="s">
        <v>64</v>
      </c>
      <c r="E15" s="367"/>
      <c r="F15" s="370" t="s">
        <v>59</v>
      </c>
      <c r="G15" s="367"/>
      <c r="H15" s="370" t="s">
        <v>170</v>
      </c>
      <c r="I15" s="367"/>
      <c r="J15" s="371" t="s">
        <v>54</v>
      </c>
      <c r="K15" s="372"/>
      <c r="L15" s="400" t="s">
        <v>7</v>
      </c>
      <c r="M15" s="397"/>
      <c r="N15" s="402" t="s">
        <v>68</v>
      </c>
      <c r="O15" s="403"/>
      <c r="P15" s="402" t="s">
        <v>67</v>
      </c>
      <c r="Q15" s="403"/>
      <c r="R15" s="367" t="s">
        <v>13</v>
      </c>
      <c r="S15" s="374"/>
    </row>
    <row r="16" spans="2:34" ht="20.100000000000001" customHeight="1" thickBot="1" x14ac:dyDescent="0.25">
      <c r="B16" s="398"/>
      <c r="C16" s="399"/>
      <c r="D16" s="369"/>
      <c r="E16" s="369"/>
      <c r="F16" s="369"/>
      <c r="G16" s="369"/>
      <c r="H16" s="369"/>
      <c r="I16" s="369"/>
      <c r="J16" s="373"/>
      <c r="K16" s="373"/>
      <c r="L16" s="401"/>
      <c r="M16" s="399"/>
      <c r="N16" s="404"/>
      <c r="O16" s="405"/>
      <c r="P16" s="404"/>
      <c r="Q16" s="405"/>
      <c r="R16" s="369"/>
      <c r="S16" s="375"/>
      <c r="AD16" s="1" t="s">
        <v>92</v>
      </c>
    </row>
    <row r="17" spans="2:30" ht="20.100000000000001" customHeight="1" x14ac:dyDescent="0.2">
      <c r="B17" s="379" t="s">
        <v>258</v>
      </c>
      <c r="C17" s="248"/>
      <c r="D17" s="406" t="s">
        <v>259</v>
      </c>
      <c r="E17" s="407"/>
      <c r="F17" s="247">
        <f>6.3*10.8</f>
        <v>68.040000000000006</v>
      </c>
      <c r="G17" s="248"/>
      <c r="H17" s="247">
        <v>0</v>
      </c>
      <c r="I17" s="248"/>
      <c r="J17" s="408">
        <f>IF(F17="","",F17-H17)</f>
        <v>68.040000000000006</v>
      </c>
      <c r="K17" s="409"/>
      <c r="L17" s="406">
        <v>0.12702755520813</v>
      </c>
      <c r="M17" s="407"/>
      <c r="N17" s="410">
        <f t="shared" ref="N17:N24" si="0">IF($D17="","",IF(OR($D17="外気床",$D17="その他床"),0,IF(OR($D17="屋根",$D17="天井"),J17*L17*0.034)))</f>
        <v>0.29386046511627967</v>
      </c>
      <c r="O17" s="411"/>
      <c r="P17" s="412">
        <f>IF(D17="","",IF(共通条件・結果!$AA$7="８地域","-",IF($D17="　","",IF(OR($D17="外気床",$D17="その他床"),0,IF(OR($D17="屋根",$D17="天井"),J17*L17*0.034)))))</f>
        <v>0.29386046511627967</v>
      </c>
      <c r="Q17" s="413"/>
      <c r="R17" s="414">
        <f t="shared" ref="R17:R24" si="1">IF(F17="","",J17*L17*AD17)</f>
        <v>8.6429548563611664</v>
      </c>
      <c r="S17" s="415"/>
      <c r="AD17" s="32">
        <f>IF(D17="　","FALSE",IF(D17="その他床",0.7,1))</f>
        <v>1</v>
      </c>
    </row>
    <row r="18" spans="2:30" ht="20.100000000000001" customHeight="1" x14ac:dyDescent="0.2">
      <c r="B18" s="384"/>
      <c r="C18" s="182"/>
      <c r="D18" s="181"/>
      <c r="E18" s="182"/>
      <c r="F18" s="181"/>
      <c r="G18" s="182"/>
      <c r="H18" s="181"/>
      <c r="I18" s="182"/>
      <c r="J18" s="416" t="str">
        <f t="shared" ref="J18:J24" si="2">IF(F18="","",F18-H18)</f>
        <v/>
      </c>
      <c r="K18" s="417"/>
      <c r="L18" s="181"/>
      <c r="M18" s="182"/>
      <c r="N18" s="418" t="str">
        <f t="shared" si="0"/>
        <v/>
      </c>
      <c r="O18" s="419"/>
      <c r="P18" s="418" t="str">
        <f>IF(D18="","",IF(共通条件・結果!$AA$7="８地域","-",IF($D18="　","",IF(OR($D18="外気床",$D18="その他床"),0,IF(OR($D18="屋根",$D18="天井"),J18*L18*0.034)))))</f>
        <v/>
      </c>
      <c r="Q18" s="419"/>
      <c r="R18" s="386" t="str">
        <f t="shared" si="1"/>
        <v/>
      </c>
      <c r="S18" s="387"/>
      <c r="AD18" s="33">
        <f t="shared" ref="AD18:AD24" si="3">IF(D18="　","FALSE",IF(D18="その他床",0.7,1))</f>
        <v>1</v>
      </c>
    </row>
    <row r="19" spans="2:30" ht="20.100000000000001" customHeight="1" x14ac:dyDescent="0.2">
      <c r="B19" s="384"/>
      <c r="C19" s="182"/>
      <c r="D19" s="181"/>
      <c r="E19" s="182"/>
      <c r="F19" s="181"/>
      <c r="G19" s="182"/>
      <c r="H19" s="181"/>
      <c r="I19" s="182"/>
      <c r="J19" s="416" t="str">
        <f t="shared" si="2"/>
        <v/>
      </c>
      <c r="K19" s="417"/>
      <c r="L19" s="181"/>
      <c r="M19" s="182"/>
      <c r="N19" s="418" t="str">
        <f t="shared" si="0"/>
        <v/>
      </c>
      <c r="O19" s="419"/>
      <c r="P19" s="418" t="str">
        <f>IF(D19="","",IF(共通条件・結果!$AA$7="８地域","-",IF($D19="　","",IF(OR($D19="外気床",$D19="その他床"),0,IF(OR($D19="屋根",$D19="天井"),J19*L19*0.034)))))</f>
        <v/>
      </c>
      <c r="Q19" s="419"/>
      <c r="R19" s="386" t="str">
        <f t="shared" si="1"/>
        <v/>
      </c>
      <c r="S19" s="387"/>
      <c r="AD19" s="33">
        <f t="shared" si="3"/>
        <v>1</v>
      </c>
    </row>
    <row r="20" spans="2:30" ht="20.100000000000001" customHeight="1" x14ac:dyDescent="0.2">
      <c r="B20" s="384"/>
      <c r="C20" s="182"/>
      <c r="D20" s="181"/>
      <c r="E20" s="182"/>
      <c r="F20" s="181"/>
      <c r="G20" s="182"/>
      <c r="H20" s="181"/>
      <c r="I20" s="182"/>
      <c r="J20" s="416" t="str">
        <f t="shared" si="2"/>
        <v/>
      </c>
      <c r="K20" s="417"/>
      <c r="L20" s="181"/>
      <c r="M20" s="182"/>
      <c r="N20" s="418" t="str">
        <f t="shared" si="0"/>
        <v/>
      </c>
      <c r="O20" s="419"/>
      <c r="P20" s="418" t="str">
        <f>IF(D20="","",IF(共通条件・結果!$AA$7="８地域","-",IF($D20="　","",IF(OR($D20="外気床",$D20="その他床"),0,IF(OR($D20="屋根",$D20="天井"),J20*L20*0.034)))))</f>
        <v/>
      </c>
      <c r="Q20" s="419"/>
      <c r="R20" s="386" t="str">
        <f t="shared" si="1"/>
        <v/>
      </c>
      <c r="S20" s="387"/>
      <c r="AD20" s="33">
        <f t="shared" si="3"/>
        <v>1</v>
      </c>
    </row>
    <row r="21" spans="2:30" ht="20.100000000000001" customHeight="1" x14ac:dyDescent="0.2">
      <c r="B21" s="384"/>
      <c r="C21" s="182"/>
      <c r="D21" s="181"/>
      <c r="E21" s="182"/>
      <c r="F21" s="181"/>
      <c r="G21" s="182"/>
      <c r="H21" s="181"/>
      <c r="I21" s="182"/>
      <c r="J21" s="416" t="str">
        <f t="shared" si="2"/>
        <v/>
      </c>
      <c r="K21" s="417"/>
      <c r="L21" s="181"/>
      <c r="M21" s="182"/>
      <c r="N21" s="418" t="str">
        <f t="shared" si="0"/>
        <v/>
      </c>
      <c r="O21" s="419"/>
      <c r="P21" s="418" t="str">
        <f>IF(D21="","",IF(共通条件・結果!$AA$7="８地域","-",IF($D21="　","",IF(OR($D21="外気床",$D21="その他床"),0,IF(OR($D21="屋根",$D21="天井"),J21*L21*0.034)))))</f>
        <v/>
      </c>
      <c r="Q21" s="419"/>
      <c r="R21" s="386" t="str">
        <f t="shared" si="1"/>
        <v/>
      </c>
      <c r="S21" s="387"/>
      <c r="AD21" s="33">
        <f t="shared" si="3"/>
        <v>1</v>
      </c>
    </row>
    <row r="22" spans="2:30" ht="20.100000000000001" customHeight="1" x14ac:dyDescent="0.2">
      <c r="B22" s="384"/>
      <c r="C22" s="182"/>
      <c r="D22" s="181"/>
      <c r="E22" s="182"/>
      <c r="F22" s="181"/>
      <c r="G22" s="182"/>
      <c r="H22" s="181"/>
      <c r="I22" s="182"/>
      <c r="J22" s="416" t="str">
        <f t="shared" si="2"/>
        <v/>
      </c>
      <c r="K22" s="417"/>
      <c r="L22" s="181"/>
      <c r="M22" s="182"/>
      <c r="N22" s="418" t="str">
        <f t="shared" si="0"/>
        <v/>
      </c>
      <c r="O22" s="419"/>
      <c r="P22" s="418" t="str">
        <f>IF(D22="","",IF(共通条件・結果!$AA$7="８地域","-",IF($D22="　","",IF(OR($D22="外気床",$D22="その他床"),0,IF(OR($D22="屋根",$D22="天井"),J22*L22*0.034)))))</f>
        <v/>
      </c>
      <c r="Q22" s="419"/>
      <c r="R22" s="386" t="str">
        <f t="shared" si="1"/>
        <v/>
      </c>
      <c r="S22" s="387"/>
      <c r="AD22" s="33">
        <f t="shared" si="3"/>
        <v>1</v>
      </c>
    </row>
    <row r="23" spans="2:30" ht="20.100000000000001" customHeight="1" x14ac:dyDescent="0.2">
      <c r="B23" s="384"/>
      <c r="C23" s="182"/>
      <c r="D23" s="181"/>
      <c r="E23" s="182"/>
      <c r="F23" s="181"/>
      <c r="G23" s="182"/>
      <c r="H23" s="181"/>
      <c r="I23" s="182"/>
      <c r="J23" s="416" t="str">
        <f t="shared" si="2"/>
        <v/>
      </c>
      <c r="K23" s="417"/>
      <c r="L23" s="181"/>
      <c r="M23" s="182"/>
      <c r="N23" s="420" t="str">
        <f t="shared" si="0"/>
        <v/>
      </c>
      <c r="O23" s="421"/>
      <c r="P23" s="418" t="str">
        <f>IF(D23="","",IF(共通条件・結果!$AA$7="８地域","-",IF($D23="　","",IF(OR($D23="外気床",$D23="その他床"),0,IF(OR($D23="屋根",$D23="天井"),J23*L23*0.034)))))</f>
        <v/>
      </c>
      <c r="Q23" s="419"/>
      <c r="R23" s="386" t="str">
        <f t="shared" si="1"/>
        <v/>
      </c>
      <c r="S23" s="387"/>
      <c r="AD23" s="33">
        <f t="shared" si="3"/>
        <v>1</v>
      </c>
    </row>
    <row r="24" spans="2:30" ht="20.100000000000001" customHeight="1" thickBot="1" x14ac:dyDescent="0.25">
      <c r="B24" s="388"/>
      <c r="C24" s="191"/>
      <c r="D24" s="428"/>
      <c r="E24" s="429"/>
      <c r="F24" s="190"/>
      <c r="G24" s="191"/>
      <c r="H24" s="190"/>
      <c r="I24" s="191"/>
      <c r="J24" s="430" t="str">
        <f t="shared" si="2"/>
        <v/>
      </c>
      <c r="K24" s="431"/>
      <c r="L24" s="428"/>
      <c r="M24" s="429"/>
      <c r="N24" s="422" t="str">
        <f t="shared" si="0"/>
        <v/>
      </c>
      <c r="O24" s="423"/>
      <c r="P24" s="422" t="str">
        <f>IF(D24="","",IF(共通条件・結果!$AA$7="８地域","-",IF($D24="　","",IF(OR($D24="外気床",$D24="その他床"),0,IF(OR($D24="屋根",$D24="天井"),J24*L24*0.034)))))</f>
        <v/>
      </c>
      <c r="Q24" s="423"/>
      <c r="R24" s="424" t="str">
        <f t="shared" si="1"/>
        <v/>
      </c>
      <c r="S24" s="425"/>
      <c r="AD24" s="33">
        <f t="shared" si="3"/>
        <v>1</v>
      </c>
    </row>
    <row r="25" spans="2:30" ht="20.100000000000001" customHeight="1" thickBot="1" x14ac:dyDescent="0.25">
      <c r="B25" s="229" t="s">
        <v>138</v>
      </c>
      <c r="C25" s="230"/>
      <c r="D25" s="230"/>
      <c r="E25" s="230"/>
      <c r="F25" s="230"/>
      <c r="G25" s="230"/>
      <c r="H25" s="230"/>
      <c r="I25" s="230"/>
      <c r="J25" s="230"/>
      <c r="K25" s="230"/>
      <c r="L25" s="230"/>
      <c r="M25" s="231"/>
      <c r="N25" s="426">
        <f>SUM(N17:O24)</f>
        <v>0.29386046511627967</v>
      </c>
      <c r="O25" s="427"/>
      <c r="P25" s="426">
        <f>SUM(P17:Q24)</f>
        <v>0.29386046511627967</v>
      </c>
      <c r="Q25" s="427"/>
      <c r="R25" s="394">
        <f>SUM(R17:S24)</f>
        <v>8.6429548563611664</v>
      </c>
      <c r="S25" s="395"/>
    </row>
    <row r="26" spans="2:30" ht="20.100000000000001" customHeight="1" x14ac:dyDescent="0.2">
      <c r="B26" s="2"/>
      <c r="C26" s="2"/>
      <c r="D26" s="2"/>
      <c r="E26" s="2"/>
      <c r="F26" s="2"/>
      <c r="G26" s="2"/>
      <c r="H26" s="2"/>
      <c r="I26" s="2"/>
      <c r="J26" s="2"/>
      <c r="K26" s="2"/>
      <c r="L26" s="2"/>
      <c r="M26" s="2"/>
      <c r="N26" s="2"/>
      <c r="O26" s="2"/>
      <c r="P26" s="2"/>
      <c r="Q26" s="2"/>
    </row>
    <row r="27" spans="2:30" ht="20.100000000000001" customHeight="1" x14ac:dyDescent="0.2">
      <c r="B27" s="2"/>
      <c r="C27" s="2"/>
      <c r="D27" s="2"/>
      <c r="E27" s="2"/>
      <c r="F27" s="2"/>
      <c r="G27" s="2"/>
      <c r="H27" s="2"/>
      <c r="I27" s="2"/>
      <c r="J27" s="2"/>
      <c r="K27" s="2"/>
      <c r="L27" s="2"/>
      <c r="M27" s="2"/>
      <c r="N27" s="2"/>
      <c r="O27" s="2"/>
      <c r="P27" s="2"/>
      <c r="Q27" s="2"/>
    </row>
    <row r="28" spans="2:30" ht="20.100000000000001" customHeight="1" x14ac:dyDescent="0.2">
      <c r="B28" s="68"/>
      <c r="C28" s="6"/>
      <c r="D28" s="6"/>
      <c r="E28" s="6"/>
      <c r="F28" s="6"/>
      <c r="G28" s="6"/>
      <c r="H28" s="6"/>
      <c r="I28" s="6"/>
      <c r="J28" s="6"/>
      <c r="K28" s="6"/>
      <c r="L28" s="6"/>
      <c r="M28" s="6"/>
      <c r="N28" s="6"/>
      <c r="O28" s="6"/>
      <c r="P28" s="6"/>
      <c r="Q28" s="6"/>
      <c r="R28" s="6"/>
      <c r="S28" s="6"/>
      <c r="T28" s="2"/>
      <c r="U28" s="2"/>
      <c r="V28" s="2"/>
      <c r="W28" s="2"/>
      <c r="X28" s="2"/>
      <c r="Y28" s="2"/>
      <c r="Z28" s="2"/>
      <c r="AA28" s="2"/>
      <c r="AB28" s="2"/>
      <c r="AC28" s="2"/>
    </row>
    <row r="29" spans="2:30" ht="20.100000000000001" customHeight="1" thickBot="1" x14ac:dyDescent="0.25">
      <c r="B29" s="4" t="s">
        <v>164</v>
      </c>
      <c r="C29" s="2"/>
      <c r="D29" s="2"/>
      <c r="E29" s="2"/>
      <c r="F29" s="2"/>
      <c r="G29" s="2"/>
      <c r="H29" s="2"/>
      <c r="I29" s="2"/>
      <c r="J29" s="2"/>
      <c r="K29" s="2"/>
      <c r="L29" s="2"/>
      <c r="M29" s="2"/>
      <c r="N29" s="2"/>
      <c r="O29" s="2"/>
      <c r="P29" s="2"/>
      <c r="Q29" s="2"/>
      <c r="R29" s="2"/>
      <c r="S29" s="8"/>
      <c r="T29" s="8"/>
      <c r="U29" s="8"/>
      <c r="V29" s="8"/>
      <c r="W29" s="8"/>
      <c r="X29" s="8"/>
      <c r="Y29" s="8"/>
      <c r="Z29" s="2"/>
      <c r="AA29" s="2"/>
      <c r="AB29" s="2"/>
      <c r="AC29" s="2"/>
    </row>
    <row r="30" spans="2:30" ht="20.100000000000001" customHeight="1" x14ac:dyDescent="0.2">
      <c r="B30" s="433" t="s">
        <v>61</v>
      </c>
      <c r="C30" s="434"/>
      <c r="D30" s="149" t="s">
        <v>56</v>
      </c>
      <c r="E30" s="150"/>
      <c r="F30" s="150"/>
      <c r="G30" s="150"/>
      <c r="H30" s="150"/>
      <c r="I30" s="150"/>
      <c r="J30" s="151"/>
      <c r="K30" s="10"/>
      <c r="L30" s="69"/>
      <c r="M30" s="69"/>
      <c r="N30" s="10"/>
      <c r="O30" s="11"/>
      <c r="P30" s="439">
        <f>T30+Y30</f>
        <v>68.040000000000006</v>
      </c>
      <c r="Q30" s="439"/>
      <c r="R30" s="10" t="s">
        <v>165</v>
      </c>
      <c r="S30" s="11" t="s">
        <v>62</v>
      </c>
      <c r="T30" s="440">
        <f>D7*F7+D8*F8+D9*F9+D10*F10+D11*F11</f>
        <v>0</v>
      </c>
      <c r="U30" s="440"/>
      <c r="V30" s="70" t="s">
        <v>166</v>
      </c>
      <c r="W30" s="113" t="s">
        <v>167</v>
      </c>
      <c r="X30" s="113"/>
      <c r="Y30" s="440">
        <f>SUM(J17:K24)</f>
        <v>68.040000000000006</v>
      </c>
      <c r="Z30" s="440"/>
      <c r="AA30" s="71" t="s">
        <v>168</v>
      </c>
      <c r="AB30" s="6"/>
      <c r="AC30" s="6"/>
    </row>
    <row r="31" spans="2:30" ht="20.100000000000001" customHeight="1" x14ac:dyDescent="0.2">
      <c r="B31" s="435"/>
      <c r="C31" s="436"/>
      <c r="D31" s="142" t="s">
        <v>72</v>
      </c>
      <c r="E31" s="143"/>
      <c r="F31" s="143"/>
      <c r="G31" s="143"/>
      <c r="H31" s="143"/>
      <c r="I31" s="143"/>
      <c r="J31" s="144"/>
      <c r="K31" s="9"/>
      <c r="L31" s="9"/>
      <c r="M31" s="9"/>
      <c r="N31" s="9"/>
      <c r="O31" s="9"/>
      <c r="P31" s="9"/>
      <c r="Q31" s="9"/>
      <c r="R31" s="9"/>
      <c r="S31" s="9"/>
      <c r="T31" s="9"/>
      <c r="U31" s="9"/>
      <c r="V31" s="9"/>
      <c r="W31" s="441">
        <f>N12+N25</f>
        <v>0.29386046511627967</v>
      </c>
      <c r="X31" s="441"/>
      <c r="Y31" s="441"/>
      <c r="Z31" s="72"/>
      <c r="AA31" s="73"/>
      <c r="AB31" s="6"/>
      <c r="AC31" s="6"/>
    </row>
    <row r="32" spans="2:30" ht="20.100000000000001" customHeight="1" x14ac:dyDescent="0.2">
      <c r="B32" s="435"/>
      <c r="C32" s="436"/>
      <c r="D32" s="142" t="s">
        <v>73</v>
      </c>
      <c r="E32" s="143"/>
      <c r="F32" s="143"/>
      <c r="G32" s="143"/>
      <c r="H32" s="143"/>
      <c r="I32" s="143"/>
      <c r="J32" s="144"/>
      <c r="K32" s="9"/>
      <c r="L32" s="9"/>
      <c r="M32" s="9"/>
      <c r="N32" s="9"/>
      <c r="O32" s="9"/>
      <c r="P32" s="9"/>
      <c r="Q32" s="9"/>
      <c r="R32" s="9"/>
      <c r="S32" s="9"/>
      <c r="T32" s="9"/>
      <c r="U32" s="9"/>
      <c r="V32" s="9"/>
      <c r="W32" s="441">
        <f>P12+P25</f>
        <v>0.29386046511627967</v>
      </c>
      <c r="X32" s="441"/>
      <c r="Y32" s="441"/>
      <c r="Z32" s="72"/>
      <c r="AA32" s="73"/>
      <c r="AB32" s="6"/>
      <c r="AC32" s="6"/>
    </row>
    <row r="33" spans="2:29" ht="20.100000000000001" customHeight="1" thickBot="1" x14ac:dyDescent="0.25">
      <c r="B33" s="437"/>
      <c r="C33" s="438"/>
      <c r="D33" s="133" t="s">
        <v>20</v>
      </c>
      <c r="E33" s="134"/>
      <c r="F33" s="134"/>
      <c r="G33" s="134"/>
      <c r="H33" s="134"/>
      <c r="I33" s="134"/>
      <c r="J33" s="135"/>
      <c r="K33" s="8"/>
      <c r="L33" s="8"/>
      <c r="M33" s="8"/>
      <c r="N33" s="8"/>
      <c r="O33" s="8"/>
      <c r="P33" s="8"/>
      <c r="Q33" s="8"/>
      <c r="R33" s="8"/>
      <c r="S33" s="8"/>
      <c r="T33" s="8"/>
      <c r="U33" s="8"/>
      <c r="V33" s="8"/>
      <c r="W33" s="432">
        <f>R12+R25</f>
        <v>8.6429548563611664</v>
      </c>
      <c r="X33" s="432"/>
      <c r="Y33" s="432"/>
      <c r="Z33" s="74" t="s">
        <v>169</v>
      </c>
      <c r="AA33" s="75"/>
      <c r="AB33" s="6"/>
      <c r="AC33" s="6"/>
    </row>
    <row r="34" spans="2:29" ht="20.100000000000001" customHeight="1" x14ac:dyDescent="0.2"/>
    <row r="35" spans="2:29" ht="20.100000000000001" customHeight="1" x14ac:dyDescent="0.2"/>
    <row r="36" spans="2:29" ht="20.100000000000001" customHeight="1" x14ac:dyDescent="0.2"/>
    <row r="37" spans="2:29" ht="20.100000000000001" customHeight="1" x14ac:dyDescent="0.2"/>
    <row r="38" spans="2:29" ht="20.100000000000001" customHeight="1" x14ac:dyDescent="0.2"/>
    <row r="39" spans="2:29" ht="20.100000000000001" customHeight="1" x14ac:dyDescent="0.2"/>
    <row r="40" spans="2:29" ht="20.100000000000001" customHeight="1" x14ac:dyDescent="0.2"/>
    <row r="41" spans="2:29" ht="20.100000000000001" customHeight="1" x14ac:dyDescent="0.2"/>
    <row r="42" spans="2:29" ht="20.100000000000001" customHeight="1" x14ac:dyDescent="0.2"/>
    <row r="43" spans="2:29" ht="20.100000000000001" customHeight="1" x14ac:dyDescent="0.2"/>
    <row r="44" spans="2:29" ht="20.100000000000001" customHeight="1" x14ac:dyDescent="0.2"/>
    <row r="45" spans="2:29" ht="20.100000000000001" customHeight="1" x14ac:dyDescent="0.2"/>
    <row r="46" spans="2:29" ht="20.100000000000001" customHeight="1" x14ac:dyDescent="0.2"/>
    <row r="47" spans="2:29" ht="20.100000000000001" customHeight="1" x14ac:dyDescent="0.2"/>
    <row r="48" spans="2:29"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sheetData>
  <sheetProtection algorithmName="SHA-512" hashValue="aqm9G04pLxsZ9qnIiTzOjtRJQpq6fqCOLsjY24t3dSfXOVQlkoMMidZFYxsnLBEa4fLN1WwdUz8Mt0m5q9+zXg==" saltValue="qOv9k+AVSCRW4+yDttKzBQ==" spinCount="100000" sheet="1" objects="1" scenarios="1" selectLockedCells="1"/>
  <mergeCells count="157">
    <mergeCell ref="D33:J33"/>
    <mergeCell ref="W33:Y33"/>
    <mergeCell ref="B30:C33"/>
    <mergeCell ref="D30:J30"/>
    <mergeCell ref="P30:Q30"/>
    <mergeCell ref="T30:U30"/>
    <mergeCell ref="W30:X30"/>
    <mergeCell ref="Y30:Z30"/>
    <mergeCell ref="D31:J31"/>
    <mergeCell ref="W31:Y31"/>
    <mergeCell ref="D32:J32"/>
    <mergeCell ref="W32:Y32"/>
    <mergeCell ref="N24:O24"/>
    <mergeCell ref="P24:Q24"/>
    <mergeCell ref="R24:S24"/>
    <mergeCell ref="B25:M25"/>
    <mergeCell ref="N25:O25"/>
    <mergeCell ref="P25:Q25"/>
    <mergeCell ref="R25:S25"/>
    <mergeCell ref="B24:C24"/>
    <mergeCell ref="D24:E24"/>
    <mergeCell ref="F24:G24"/>
    <mergeCell ref="H24:I24"/>
    <mergeCell ref="J24:K24"/>
    <mergeCell ref="L24:M24"/>
    <mergeCell ref="R22:S22"/>
    <mergeCell ref="N23:O23"/>
    <mergeCell ref="P23:Q23"/>
    <mergeCell ref="R23:S23"/>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B21:C21"/>
    <mergeCell ref="D21:E21"/>
    <mergeCell ref="F21:G21"/>
    <mergeCell ref="H21:I21"/>
    <mergeCell ref="J21:K21"/>
    <mergeCell ref="L21:M21"/>
    <mergeCell ref="N21:O21"/>
    <mergeCell ref="P21:Q21"/>
    <mergeCell ref="R21:S21"/>
    <mergeCell ref="B20:C20"/>
    <mergeCell ref="D20:E20"/>
    <mergeCell ref="F20:G20"/>
    <mergeCell ref="H20:I20"/>
    <mergeCell ref="J20:K20"/>
    <mergeCell ref="L20:M20"/>
    <mergeCell ref="N20:O20"/>
    <mergeCell ref="P20:Q20"/>
    <mergeCell ref="R20:S20"/>
    <mergeCell ref="B19:C19"/>
    <mergeCell ref="D19:E19"/>
    <mergeCell ref="F19:G19"/>
    <mergeCell ref="H19:I19"/>
    <mergeCell ref="J19:K19"/>
    <mergeCell ref="L19:M19"/>
    <mergeCell ref="N19:O19"/>
    <mergeCell ref="P19:Q19"/>
    <mergeCell ref="R19:S19"/>
    <mergeCell ref="B18:C18"/>
    <mergeCell ref="D18:E18"/>
    <mergeCell ref="F18:G18"/>
    <mergeCell ref="H18:I18"/>
    <mergeCell ref="J18:K18"/>
    <mergeCell ref="L18:M18"/>
    <mergeCell ref="N18:O18"/>
    <mergeCell ref="P18:Q18"/>
    <mergeCell ref="R18:S18"/>
    <mergeCell ref="B17:C17"/>
    <mergeCell ref="D17:E17"/>
    <mergeCell ref="F17:G17"/>
    <mergeCell ref="H17:I17"/>
    <mergeCell ref="J17:K17"/>
    <mergeCell ref="L17:M17"/>
    <mergeCell ref="N17:O17"/>
    <mergeCell ref="P17:Q17"/>
    <mergeCell ref="R17:S17"/>
    <mergeCell ref="B12:M12"/>
    <mergeCell ref="N12:O12"/>
    <mergeCell ref="P12:Q12"/>
    <mergeCell ref="R12:S12"/>
    <mergeCell ref="B15:C16"/>
    <mergeCell ref="D15:E16"/>
    <mergeCell ref="F15:G16"/>
    <mergeCell ref="H15:I16"/>
    <mergeCell ref="J15:K16"/>
    <mergeCell ref="L15:M16"/>
    <mergeCell ref="N15:O16"/>
    <mergeCell ref="P15:Q16"/>
    <mergeCell ref="R15:S16"/>
    <mergeCell ref="B11:C11"/>
    <mergeCell ref="D11:E11"/>
    <mergeCell ref="F11:G11"/>
    <mergeCell ref="H11:I11"/>
    <mergeCell ref="J11:K11"/>
    <mergeCell ref="L11:M11"/>
    <mergeCell ref="N11:O11"/>
    <mergeCell ref="P11:Q11"/>
    <mergeCell ref="R11:S11"/>
    <mergeCell ref="B10:C10"/>
    <mergeCell ref="D10:E10"/>
    <mergeCell ref="F10:G10"/>
    <mergeCell ref="H10:I10"/>
    <mergeCell ref="J10:K10"/>
    <mergeCell ref="L10:M10"/>
    <mergeCell ref="N10:O10"/>
    <mergeCell ref="P10:Q10"/>
    <mergeCell ref="R10:S10"/>
    <mergeCell ref="B9:C9"/>
    <mergeCell ref="D9:E9"/>
    <mergeCell ref="F9:G9"/>
    <mergeCell ref="H9:I9"/>
    <mergeCell ref="J9:K9"/>
    <mergeCell ref="L9:M9"/>
    <mergeCell ref="N9:O9"/>
    <mergeCell ref="P9:Q9"/>
    <mergeCell ref="R9:S9"/>
    <mergeCell ref="B8:C8"/>
    <mergeCell ref="D8:E8"/>
    <mergeCell ref="F8:G8"/>
    <mergeCell ref="H8:I8"/>
    <mergeCell ref="J8:K8"/>
    <mergeCell ref="L8:M8"/>
    <mergeCell ref="N8:O8"/>
    <mergeCell ref="P8:Q8"/>
    <mergeCell ref="R8:S8"/>
    <mergeCell ref="B7:C7"/>
    <mergeCell ref="D7:E7"/>
    <mergeCell ref="F7:G7"/>
    <mergeCell ref="H7:I7"/>
    <mergeCell ref="J7:K7"/>
    <mergeCell ref="L7:M7"/>
    <mergeCell ref="N7:O7"/>
    <mergeCell ref="P7:Q7"/>
    <mergeCell ref="R7:S7"/>
    <mergeCell ref="B2:AA2"/>
    <mergeCell ref="B5:C6"/>
    <mergeCell ref="D5:G5"/>
    <mergeCell ref="H5:I6"/>
    <mergeCell ref="J5:K6"/>
    <mergeCell ref="L5:M6"/>
    <mergeCell ref="N5:O6"/>
    <mergeCell ref="P5:Q6"/>
    <mergeCell ref="R5:S6"/>
    <mergeCell ref="D6:E6"/>
    <mergeCell ref="F6:G6"/>
  </mergeCells>
  <phoneticPr fontId="2"/>
  <conditionalFormatting sqref="N12:O12">
    <cfRule type="expression" dxfId="13" priority="12" stopIfTrue="1">
      <formula>$N$12=0</formula>
    </cfRule>
  </conditionalFormatting>
  <conditionalFormatting sqref="N25:O25">
    <cfRule type="expression" dxfId="12" priority="11" stopIfTrue="1">
      <formula>$N$25=0</formula>
    </cfRule>
  </conditionalFormatting>
  <conditionalFormatting sqref="P25:Q25">
    <cfRule type="expression" dxfId="11" priority="10" stopIfTrue="1">
      <formula>$P$25=0</formula>
    </cfRule>
  </conditionalFormatting>
  <conditionalFormatting sqref="R25:S25">
    <cfRule type="expression" dxfId="10" priority="9" stopIfTrue="1">
      <formula>$R$25=0</formula>
    </cfRule>
  </conditionalFormatting>
  <conditionalFormatting sqref="P12:Q12">
    <cfRule type="expression" dxfId="9" priority="8" stopIfTrue="1">
      <formula>$P$12=0</formula>
    </cfRule>
  </conditionalFormatting>
  <conditionalFormatting sqref="R12:S12">
    <cfRule type="expression" dxfId="8" priority="7" stopIfTrue="1">
      <formula>$R$12=0</formula>
    </cfRule>
  </conditionalFormatting>
  <conditionalFormatting sqref="W31:Y31">
    <cfRule type="expression" dxfId="7" priority="6" stopIfTrue="1">
      <formula>$W$31=0</formula>
    </cfRule>
  </conditionalFormatting>
  <conditionalFormatting sqref="W32:Y32">
    <cfRule type="expression" dxfId="6" priority="5" stopIfTrue="1">
      <formula>$W$32=0</formula>
    </cfRule>
  </conditionalFormatting>
  <conditionalFormatting sqref="W33:Y33">
    <cfRule type="expression" dxfId="5" priority="4" stopIfTrue="1">
      <formula>$W$33=0</formula>
    </cfRule>
  </conditionalFormatting>
  <conditionalFormatting sqref="P30:Q30">
    <cfRule type="expression" dxfId="4" priority="3" stopIfTrue="1">
      <formula>$P$30=0</formula>
    </cfRule>
  </conditionalFormatting>
  <conditionalFormatting sqref="T30:U30">
    <cfRule type="expression" dxfId="3" priority="2" stopIfTrue="1">
      <formula>$T$30=0</formula>
    </cfRule>
  </conditionalFormatting>
  <conditionalFormatting sqref="Y30:Z30">
    <cfRule type="expression" dxfId="2" priority="1" stopIfTrue="1">
      <formula>$Y$30=0</formula>
    </cfRule>
  </conditionalFormatting>
  <dataValidations count="2">
    <dataValidation type="list" allowBlank="1" showInputMessage="1" showErrorMessage="1" sqref="L7:M11">
      <formula1>"　,雨戸,ｼｬｯﾀｰ,障子"</formula1>
    </dataValidation>
    <dataValidation type="list" allowBlank="1" showInputMessage="1" showErrorMessage="1" sqref="D17:E24">
      <formula1>"屋根,天井,外気床,その他床"</formula1>
    </dataValidation>
  </dataValidations>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K149"/>
  <sheetViews>
    <sheetView showGridLines="0" view="pageBreakPreview" topLeftCell="A21" zoomScaleNormal="100" zoomScaleSheetLayoutView="100" workbookViewId="0">
      <selection activeCell="P20" sqref="P20:Q20"/>
    </sheetView>
  </sheetViews>
  <sheetFormatPr defaultRowHeight="13.2" x14ac:dyDescent="0.2"/>
  <cols>
    <col min="1" max="1" width="0.77734375" customWidth="1"/>
    <col min="2" max="3" width="4.109375" customWidth="1"/>
    <col min="4" max="29" width="3.6640625" customWidth="1"/>
    <col min="30" max="30" width="3.77734375" customWidth="1"/>
    <col min="31" max="31" width="10.33203125" hidden="1" customWidth="1"/>
    <col min="32" max="32" width="3.33203125" hidden="1" customWidth="1"/>
    <col min="33" max="33" width="14.33203125" hidden="1" customWidth="1"/>
    <col min="34" max="34" width="6" hidden="1" customWidth="1"/>
    <col min="35" max="35" width="13.88671875" hidden="1" customWidth="1"/>
    <col min="36" max="37" width="8.21875" hidden="1" customWidth="1"/>
    <col min="38" max="53" width="3.6640625" customWidth="1"/>
  </cols>
  <sheetData>
    <row r="1" spans="2:29" ht="3.75" customHeight="1" x14ac:dyDescent="0.2"/>
    <row r="2" spans="2:29" ht="30" customHeight="1" x14ac:dyDescent="0.2">
      <c r="B2" s="365" t="s">
        <v>52</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row>
    <row r="3" spans="2:29" s="3" customFormat="1" ht="20.100000000000001" customHeight="1" x14ac:dyDescent="0.15"/>
    <row r="4" spans="2:29" s="3" customFormat="1" ht="20.100000000000001" customHeight="1" thickBot="1" x14ac:dyDescent="0.2">
      <c r="B4" s="4" t="s">
        <v>160</v>
      </c>
      <c r="C4" s="2"/>
      <c r="D4" s="2"/>
      <c r="E4" s="2"/>
      <c r="F4" s="2"/>
      <c r="G4" s="2"/>
      <c r="H4" s="2"/>
      <c r="I4" s="2"/>
    </row>
    <row r="5" spans="2:29" s="3" customFormat="1" ht="20.100000000000001" customHeight="1" x14ac:dyDescent="0.15">
      <c r="B5" s="396" t="s">
        <v>36</v>
      </c>
      <c r="C5" s="397"/>
      <c r="D5" s="367" t="s">
        <v>37</v>
      </c>
      <c r="E5" s="367"/>
      <c r="F5" s="367"/>
      <c r="G5" s="157"/>
      <c r="H5" s="400" t="s">
        <v>60</v>
      </c>
      <c r="I5" s="443"/>
    </row>
    <row r="6" spans="2:29" s="3" customFormat="1" ht="20.100000000000001" customHeight="1" thickBot="1" x14ac:dyDescent="0.2">
      <c r="B6" s="398"/>
      <c r="C6" s="399"/>
      <c r="D6" s="369"/>
      <c r="E6" s="369"/>
      <c r="F6" s="369"/>
      <c r="G6" s="442"/>
      <c r="H6" s="401"/>
      <c r="I6" s="444"/>
    </row>
    <row r="7" spans="2:29" s="3" customFormat="1" ht="20.100000000000001" customHeight="1" x14ac:dyDescent="0.15">
      <c r="B7" s="445" t="s">
        <v>260</v>
      </c>
      <c r="C7" s="446"/>
      <c r="D7" s="447" t="s">
        <v>261</v>
      </c>
      <c r="E7" s="447"/>
      <c r="F7" s="447"/>
      <c r="G7" s="447"/>
      <c r="H7" s="446">
        <f>6.3*10.8</f>
        <v>68.040000000000006</v>
      </c>
      <c r="I7" s="448"/>
    </row>
    <row r="8" spans="2:29" s="3" customFormat="1" ht="20.100000000000001" customHeight="1" x14ac:dyDescent="0.15">
      <c r="B8" s="449"/>
      <c r="C8" s="450"/>
      <c r="D8" s="447"/>
      <c r="E8" s="447"/>
      <c r="F8" s="447"/>
      <c r="G8" s="447"/>
      <c r="H8" s="450"/>
      <c r="I8" s="451"/>
    </row>
    <row r="9" spans="2:29" s="3" customFormat="1" ht="20.100000000000001" customHeight="1" x14ac:dyDescent="0.15">
      <c r="B9" s="449"/>
      <c r="C9" s="450"/>
      <c r="D9" s="447"/>
      <c r="E9" s="447"/>
      <c r="F9" s="447"/>
      <c r="G9" s="447"/>
      <c r="H9" s="450"/>
      <c r="I9" s="451"/>
    </row>
    <row r="10" spans="2:29" s="3" customFormat="1" ht="20.100000000000001" customHeight="1" x14ac:dyDescent="0.15">
      <c r="B10" s="449"/>
      <c r="C10" s="450"/>
      <c r="D10" s="447"/>
      <c r="E10" s="447"/>
      <c r="F10" s="447"/>
      <c r="G10" s="447"/>
      <c r="H10" s="450"/>
      <c r="I10" s="451"/>
    </row>
    <row r="11" spans="2:29" s="3" customFormat="1" ht="20.100000000000001" customHeight="1" thickBot="1" x14ac:dyDescent="0.2">
      <c r="B11" s="452"/>
      <c r="C11" s="453"/>
      <c r="D11" s="453"/>
      <c r="E11" s="453"/>
      <c r="F11" s="453"/>
      <c r="G11" s="453"/>
      <c r="H11" s="453"/>
      <c r="I11" s="454"/>
    </row>
    <row r="12" spans="2:29" s="3" customFormat="1" ht="20.100000000000001" customHeight="1" thickBot="1" x14ac:dyDescent="0.2">
      <c r="B12" s="455" t="s">
        <v>63</v>
      </c>
      <c r="C12" s="456"/>
      <c r="D12" s="456"/>
      <c r="E12" s="456"/>
      <c r="F12" s="456"/>
      <c r="G12" s="456"/>
      <c r="H12" s="394">
        <f>SUM(H7:I11)</f>
        <v>68.040000000000006</v>
      </c>
      <c r="I12" s="395"/>
    </row>
    <row r="13" spans="2:29" s="3" customFormat="1" ht="20.100000000000001" customHeight="1" x14ac:dyDescent="0.15">
      <c r="B13" s="2" t="s">
        <v>161</v>
      </c>
      <c r="C13" s="66"/>
      <c r="D13" s="66"/>
      <c r="E13" s="66"/>
      <c r="F13" s="66"/>
      <c r="G13" s="66"/>
      <c r="H13" s="67"/>
      <c r="I13" s="67"/>
    </row>
    <row r="14" spans="2:29" s="3" customFormat="1" ht="20.100000000000001" customHeight="1" x14ac:dyDescent="0.15">
      <c r="B14" s="2" t="s">
        <v>93</v>
      </c>
      <c r="C14" s="66"/>
      <c r="D14" s="66"/>
      <c r="E14" s="66"/>
      <c r="F14" s="66"/>
      <c r="G14" s="66"/>
      <c r="H14" s="67"/>
      <c r="I14" s="67"/>
    </row>
    <row r="15" spans="2:29" s="3" customFormat="1" ht="20.100000000000001" customHeight="1" x14ac:dyDescent="0.15">
      <c r="B15" s="66"/>
      <c r="C15" s="66"/>
      <c r="D15" s="66"/>
      <c r="E15" s="66"/>
      <c r="F15" s="66"/>
      <c r="G15" s="66"/>
      <c r="H15" s="67"/>
      <c r="I15" s="67"/>
    </row>
    <row r="16" spans="2:29" s="3" customFormat="1" ht="20.100000000000001" customHeight="1" thickBot="1" x14ac:dyDescent="0.2">
      <c r="B16" s="4" t="s">
        <v>162</v>
      </c>
    </row>
    <row r="17" spans="2:37" s="3" customFormat="1" ht="20.100000000000001" customHeight="1" x14ac:dyDescent="0.15">
      <c r="B17" s="366" t="s">
        <v>36</v>
      </c>
      <c r="C17" s="367"/>
      <c r="D17" s="367" t="s">
        <v>37</v>
      </c>
      <c r="E17" s="367"/>
      <c r="F17" s="367"/>
      <c r="G17" s="367"/>
      <c r="H17" s="457" t="s">
        <v>38</v>
      </c>
      <c r="I17" s="458"/>
      <c r="J17" s="457" t="s">
        <v>39</v>
      </c>
      <c r="K17" s="458"/>
      <c r="L17" s="457" t="s">
        <v>40</v>
      </c>
      <c r="M17" s="458"/>
      <c r="N17" s="457" t="s">
        <v>41</v>
      </c>
      <c r="O17" s="458"/>
      <c r="P17" s="457" t="s">
        <v>42</v>
      </c>
      <c r="Q17" s="457"/>
      <c r="R17" s="457" t="s">
        <v>43</v>
      </c>
      <c r="S17" s="457"/>
      <c r="T17" s="457" t="s">
        <v>44</v>
      </c>
      <c r="U17" s="458"/>
      <c r="V17" s="457" t="s">
        <v>45</v>
      </c>
      <c r="W17" s="458"/>
      <c r="X17" s="457" t="s">
        <v>46</v>
      </c>
      <c r="Y17" s="458"/>
      <c r="Z17" s="457" t="s">
        <v>47</v>
      </c>
      <c r="AA17" s="458"/>
      <c r="AB17" s="367" t="s">
        <v>7</v>
      </c>
      <c r="AC17" s="374"/>
      <c r="AG17" s="461" t="s">
        <v>7</v>
      </c>
      <c r="AH17" s="461"/>
      <c r="AI17" s="461"/>
      <c r="AJ17" s="461"/>
      <c r="AK17" s="461"/>
    </row>
    <row r="18" spans="2:37" s="3" customFormat="1" ht="20.100000000000001" customHeight="1" thickBot="1" x14ac:dyDescent="0.2">
      <c r="B18" s="368"/>
      <c r="C18" s="369"/>
      <c r="D18" s="369"/>
      <c r="E18" s="369"/>
      <c r="F18" s="369"/>
      <c r="G18" s="369"/>
      <c r="H18" s="459"/>
      <c r="I18" s="459"/>
      <c r="J18" s="459"/>
      <c r="K18" s="459"/>
      <c r="L18" s="459"/>
      <c r="M18" s="459"/>
      <c r="N18" s="459"/>
      <c r="O18" s="459"/>
      <c r="P18" s="460"/>
      <c r="Q18" s="460"/>
      <c r="R18" s="460"/>
      <c r="S18" s="460"/>
      <c r="T18" s="459"/>
      <c r="U18" s="459"/>
      <c r="V18" s="459"/>
      <c r="W18" s="459"/>
      <c r="X18" s="459"/>
      <c r="Y18" s="459"/>
      <c r="Z18" s="459"/>
      <c r="AA18" s="459"/>
      <c r="AB18" s="369"/>
      <c r="AC18" s="375"/>
      <c r="AE18" s="25" t="s">
        <v>80</v>
      </c>
      <c r="AG18" s="90" t="s">
        <v>207</v>
      </c>
      <c r="AH18" s="91" t="s">
        <v>81</v>
      </c>
      <c r="AI18" s="90" t="s">
        <v>194</v>
      </c>
      <c r="AJ18" s="90" t="s">
        <v>208</v>
      </c>
      <c r="AK18" s="90" t="s">
        <v>209</v>
      </c>
    </row>
    <row r="19" spans="2:37" s="2" customFormat="1" ht="20.100000000000001" customHeight="1" x14ac:dyDescent="0.2">
      <c r="B19" s="462" t="str">
        <f>IF(B7="","",B7)</f>
        <v>F1</v>
      </c>
      <c r="C19" s="463"/>
      <c r="D19" s="464" t="str">
        <f>IF(D7="","",D7)</f>
        <v>基礎断熱</v>
      </c>
      <c r="E19" s="464"/>
      <c r="F19" s="464"/>
      <c r="G19" s="464"/>
      <c r="H19" s="222">
        <f>0.1/0.028</f>
        <v>3.5714285714285716</v>
      </c>
      <c r="I19" s="222"/>
      <c r="J19" s="222">
        <v>0</v>
      </c>
      <c r="K19" s="222"/>
      <c r="L19" s="222">
        <v>0</v>
      </c>
      <c r="M19" s="222"/>
      <c r="N19" s="222">
        <v>0</v>
      </c>
      <c r="O19" s="222"/>
      <c r="P19" s="222">
        <v>0.4</v>
      </c>
      <c r="Q19" s="222"/>
      <c r="R19" s="222">
        <v>-0.6</v>
      </c>
      <c r="S19" s="222"/>
      <c r="T19" s="222">
        <v>0</v>
      </c>
      <c r="U19" s="222"/>
      <c r="V19" s="222">
        <v>0</v>
      </c>
      <c r="W19" s="222"/>
      <c r="X19" s="222">
        <v>0</v>
      </c>
      <c r="Y19" s="222"/>
      <c r="Z19" s="465" t="str">
        <f>IF(R19="","",IF(-1&lt;=R19,"(11)",IF(H19+N19&gt;=3,"(13)1","(13)2")))</f>
        <v>(11)</v>
      </c>
      <c r="AA19" s="465"/>
      <c r="AB19" s="382">
        <f>IF(R19="","",IF(IF(Z19="(11)",AG19,AI19)&lt;0.05,"0.05",IF(Z19="(11)",AG19,AI19)))</f>
        <v>0.3652567098330981</v>
      </c>
      <c r="AC19" s="466"/>
      <c r="AE19" s="2">
        <f>IF(P19&gt;0.4,"0.4",P19)</f>
        <v>0.4</v>
      </c>
      <c r="AG19" s="2">
        <f>1.8-1.36*(H19*(AE19+T19)+N19*(AE19-R19))^0.15-0.01*(6.14-H19)*((J19+0.5*L19)*AH19)^0.5</f>
        <v>0.3652567098330981</v>
      </c>
      <c r="AH19" s="2">
        <f>IF(MAX(V19,X19)&lt;=0.9,MAX(V19,X19),"0.9")</f>
        <v>0</v>
      </c>
      <c r="AI19" s="2">
        <f>IF((H19+N19)&gt;=3,AJ19,AK19)</f>
        <v>0.17241120157620515</v>
      </c>
      <c r="AJ19" s="2">
        <f>1.8-1.47*(H19+N19)^0.08</f>
        <v>0.17241120157620515</v>
      </c>
      <c r="AK19" s="2">
        <f>1.8-1.36*(H19+N19)^0.15</f>
        <v>0.15386592970832158</v>
      </c>
    </row>
    <row r="20" spans="2:37" s="2" customFormat="1" ht="20.100000000000001" customHeight="1" x14ac:dyDescent="0.2">
      <c r="B20" s="467" t="str">
        <f>IF(B8="","",B8)</f>
        <v/>
      </c>
      <c r="C20" s="468"/>
      <c r="D20" s="469" t="str">
        <f>IF(D8="","",D8)</f>
        <v/>
      </c>
      <c r="E20" s="469"/>
      <c r="F20" s="469"/>
      <c r="G20" s="469"/>
      <c r="H20" s="213"/>
      <c r="I20" s="213"/>
      <c r="J20" s="213"/>
      <c r="K20" s="213"/>
      <c r="L20" s="213"/>
      <c r="M20" s="213"/>
      <c r="N20" s="213"/>
      <c r="O20" s="213"/>
      <c r="P20" s="213"/>
      <c r="Q20" s="213"/>
      <c r="R20" s="213"/>
      <c r="S20" s="213"/>
      <c r="T20" s="213"/>
      <c r="U20" s="213"/>
      <c r="V20" s="213"/>
      <c r="W20" s="213"/>
      <c r="X20" s="213"/>
      <c r="Y20" s="213"/>
      <c r="Z20" s="470" t="str">
        <f>IF(R20="","",IF(-1&lt;=R20,"(11)",IF(H20+N20&gt;=3,"(13)1","(13)2")))</f>
        <v/>
      </c>
      <c r="AA20" s="470"/>
      <c r="AB20" s="386" t="str">
        <f>IF(R20="","",IF(IF(Z20="(11)",AG20,AI20)&lt;0.05,"0.05",IF(Z20="(11)",AG20,AI20)))</f>
        <v/>
      </c>
      <c r="AC20" s="387"/>
      <c r="AE20" s="2">
        <f>IF(P20&gt;0.4,"0.4",P20)</f>
        <v>0</v>
      </c>
      <c r="AG20" s="2">
        <f>1.8-1.36*(H20*(AE20+T20)+N20*(AE20-R20))^0.15-0.01*(6.14-H20)*((J20+0.5*L20)*AH20)^0.5</f>
        <v>1.8</v>
      </c>
      <c r="AH20" s="2">
        <f>IF(MAX(V20,X20)&lt;=0.9,MAX(V20,X20),"0.9")</f>
        <v>0</v>
      </c>
      <c r="AI20" s="2">
        <f>IF((H20+N20)&gt;=3,AJ20,AK20)</f>
        <v>1.8</v>
      </c>
      <c r="AJ20" s="2">
        <f>1.8-1.47*(H20+N20)^0.08</f>
        <v>1.8</v>
      </c>
      <c r="AK20" s="2">
        <f>1.8-1.36*(H20+N20)^0.15</f>
        <v>1.8</v>
      </c>
    </row>
    <row r="21" spans="2:37" s="2" customFormat="1" ht="20.100000000000001" customHeight="1" x14ac:dyDescent="0.2">
      <c r="B21" s="467" t="str">
        <f>IF(B9="","",B9)</f>
        <v/>
      </c>
      <c r="C21" s="468"/>
      <c r="D21" s="469" t="str">
        <f>IF(D9="","",D9)</f>
        <v/>
      </c>
      <c r="E21" s="469"/>
      <c r="F21" s="469"/>
      <c r="G21" s="469"/>
      <c r="H21" s="213"/>
      <c r="I21" s="213"/>
      <c r="J21" s="213"/>
      <c r="K21" s="213"/>
      <c r="L21" s="213"/>
      <c r="M21" s="213"/>
      <c r="N21" s="213"/>
      <c r="O21" s="213"/>
      <c r="P21" s="213"/>
      <c r="Q21" s="213"/>
      <c r="R21" s="213"/>
      <c r="S21" s="213"/>
      <c r="T21" s="213"/>
      <c r="U21" s="213"/>
      <c r="V21" s="213"/>
      <c r="W21" s="213"/>
      <c r="X21" s="213"/>
      <c r="Y21" s="213"/>
      <c r="Z21" s="470" t="str">
        <f>IF(R21="","",IF(-1&lt;=R21,"(11)",IF(H21+N21&gt;=3,"(13)1","(13)2")))</f>
        <v/>
      </c>
      <c r="AA21" s="470"/>
      <c r="AB21" s="386" t="str">
        <f>IF(R21="","",IF(IF(Z21="(11)",AG21,AI21)&lt;0.05,"0.05",IF(Z21="(11)",AG21,AI21)))</f>
        <v/>
      </c>
      <c r="AC21" s="387"/>
      <c r="AE21" s="2">
        <f>IF(P21&gt;0.4,"0.4",P21)</f>
        <v>0</v>
      </c>
      <c r="AG21" s="2">
        <f>1.8-1.36*(H21*(AE21+T21)+N21*(AE21-R21))^0.15-0.01*(6.14-H21)*((J21+0.5*L21)*AH21)^0.5</f>
        <v>1.8</v>
      </c>
      <c r="AH21" s="2">
        <f>IF(MAX(V21,X21)&lt;=0.9,MAX(V21,X21),"0.9")</f>
        <v>0</v>
      </c>
      <c r="AI21" s="2">
        <f>IF((H21+N21)&gt;=3,AJ21,AK21)</f>
        <v>1.8</v>
      </c>
      <c r="AJ21" s="2">
        <f>1.8-1.47*(H21+N21)^0.08</f>
        <v>1.8</v>
      </c>
      <c r="AK21" s="2">
        <f>1.8-1.36*(H21+N21)^0.15</f>
        <v>1.8</v>
      </c>
    </row>
    <row r="22" spans="2:37" s="2" customFormat="1" ht="20.100000000000001" customHeight="1" x14ac:dyDescent="0.2">
      <c r="B22" s="467" t="str">
        <f>IF(B10="","",B10)</f>
        <v/>
      </c>
      <c r="C22" s="468"/>
      <c r="D22" s="469" t="str">
        <f>IF(D10="","",D10)</f>
        <v/>
      </c>
      <c r="E22" s="469"/>
      <c r="F22" s="469"/>
      <c r="G22" s="469"/>
      <c r="H22" s="213"/>
      <c r="I22" s="213"/>
      <c r="J22" s="213"/>
      <c r="K22" s="213"/>
      <c r="L22" s="213"/>
      <c r="M22" s="213"/>
      <c r="N22" s="213"/>
      <c r="O22" s="213"/>
      <c r="P22" s="213"/>
      <c r="Q22" s="213"/>
      <c r="R22" s="213"/>
      <c r="S22" s="213"/>
      <c r="T22" s="213"/>
      <c r="U22" s="213"/>
      <c r="V22" s="213"/>
      <c r="W22" s="213"/>
      <c r="X22" s="213"/>
      <c r="Y22" s="213"/>
      <c r="Z22" s="470" t="str">
        <f>IF(R22="","",IF(-1&lt;=R22,"(11)",IF(H22+N22&gt;=3,"(13)1","(13)2")))</f>
        <v/>
      </c>
      <c r="AA22" s="470"/>
      <c r="AB22" s="386" t="str">
        <f>IF(R22="","",IF(IF(Z22="(11)",AG22,AI22)&lt;0.05,"0.05",IF(Z22="(11)",AG22,AI22)))</f>
        <v/>
      </c>
      <c r="AC22" s="387"/>
      <c r="AE22" s="2">
        <f>IF(P22&gt;0.4,"0.4",P22)</f>
        <v>0</v>
      </c>
      <c r="AG22" s="2">
        <f>1.8-1.36*(H22*(AE22+T22)+N22*(AE22-R22))^0.15-0.01*(6.14-H22)*((J22+0.5*L22)*AH22)^0.5</f>
        <v>1.8</v>
      </c>
      <c r="AH22" s="2">
        <f>IF(MAX(V22,X22)&lt;=0.9,MAX(V22,X22),"0.9")</f>
        <v>0</v>
      </c>
      <c r="AI22" s="2">
        <f>IF((H22+N22)&gt;=3,AJ22,AK22)</f>
        <v>1.8</v>
      </c>
      <c r="AJ22" s="2">
        <f>1.8-1.47*(H22+N22)^0.08</f>
        <v>1.8</v>
      </c>
      <c r="AK22" s="2">
        <f>1.8-1.36*(H22+N22)^0.15</f>
        <v>1.8</v>
      </c>
    </row>
    <row r="23" spans="2:37" s="2" customFormat="1" ht="20.100000000000001" customHeight="1" thickBot="1" x14ac:dyDescent="0.25">
      <c r="B23" s="473" t="str">
        <f>IF(B11="","",B11)</f>
        <v/>
      </c>
      <c r="C23" s="474"/>
      <c r="D23" s="475" t="str">
        <f>IF(D11="","",D11)</f>
        <v/>
      </c>
      <c r="E23" s="475"/>
      <c r="F23" s="475"/>
      <c r="G23" s="475"/>
      <c r="H23" s="234"/>
      <c r="I23" s="234"/>
      <c r="J23" s="234"/>
      <c r="K23" s="234"/>
      <c r="L23" s="234"/>
      <c r="M23" s="234"/>
      <c r="N23" s="234"/>
      <c r="O23" s="234"/>
      <c r="P23" s="234"/>
      <c r="Q23" s="234"/>
      <c r="R23" s="234"/>
      <c r="S23" s="234"/>
      <c r="T23" s="234"/>
      <c r="U23" s="234"/>
      <c r="V23" s="234"/>
      <c r="W23" s="234"/>
      <c r="X23" s="234"/>
      <c r="Y23" s="234"/>
      <c r="Z23" s="472" t="str">
        <f>IF(R23="","",IF(-1&lt;=R23,"(11)",IF(H23+N23&gt;=3,"(13)1","(13)2")))</f>
        <v/>
      </c>
      <c r="AA23" s="472"/>
      <c r="AB23" s="390" t="str">
        <f>IF(R23="","",IF(IF(Z23="(11)",AG23,AI23)&lt;0.05,"0.05",IF(Z23="(11)",AG23,AI23)))</f>
        <v/>
      </c>
      <c r="AC23" s="471"/>
      <c r="AE23" s="2">
        <f>IF(P23&gt;0.4,"0.4",P23)</f>
        <v>0</v>
      </c>
      <c r="AG23" s="2">
        <f>1.8-1.36*(H23*(AE23+T23)+N23*(AE23-R23))^0.15-0.01*(6.14-H23)*((J23+0.5*L23)*AH23)^0.5</f>
        <v>1.8</v>
      </c>
      <c r="AH23" s="2">
        <f>IF(MAX(V23,X23)&lt;=0.9,MAX(V23,X23),"0.9")</f>
        <v>0</v>
      </c>
      <c r="AI23" s="2">
        <f>IF((H23+N23)&gt;=3,AJ23,AK23)</f>
        <v>1.8</v>
      </c>
      <c r="AJ23" s="2">
        <f>1.8-1.47*(H23+N23)^0.08</f>
        <v>1.8</v>
      </c>
      <c r="AK23" s="2">
        <f>1.8-1.36*(H23+N23)^0.15</f>
        <v>1.8</v>
      </c>
    </row>
    <row r="24" spans="2:37" s="2" customFormat="1" ht="20.100000000000001" customHeight="1" x14ac:dyDescent="0.2">
      <c r="B24" s="2" t="s">
        <v>48</v>
      </c>
    </row>
    <row r="25" spans="2:37" s="2" customFormat="1" ht="20.100000000000001" customHeight="1" x14ac:dyDescent="0.2">
      <c r="B25" s="2" t="s">
        <v>49</v>
      </c>
    </row>
    <row r="26" spans="2:37" s="2" customFormat="1" ht="20.100000000000001" customHeight="1" x14ac:dyDescent="0.2"/>
    <row r="27" spans="2:37" s="2" customFormat="1" ht="20.100000000000001" customHeight="1" thickBot="1" x14ac:dyDescent="0.25">
      <c r="B27" s="4" t="s">
        <v>163</v>
      </c>
    </row>
    <row r="28" spans="2:37" s="2" customFormat="1" ht="20.100000000000001" customHeight="1" x14ac:dyDescent="0.2">
      <c r="B28" s="366" t="s">
        <v>36</v>
      </c>
      <c r="C28" s="367"/>
      <c r="D28" s="367" t="s">
        <v>37</v>
      </c>
      <c r="E28" s="367"/>
      <c r="F28" s="367"/>
      <c r="G28" s="367"/>
      <c r="H28" s="457" t="s">
        <v>50</v>
      </c>
      <c r="I28" s="458"/>
      <c r="J28" s="370" t="s">
        <v>51</v>
      </c>
      <c r="K28" s="157"/>
      <c r="L28" s="367" t="s">
        <v>13</v>
      </c>
      <c r="M28" s="374"/>
    </row>
    <row r="29" spans="2:37" s="2" customFormat="1" ht="20.100000000000001" customHeight="1" thickBot="1" x14ac:dyDescent="0.25">
      <c r="B29" s="368"/>
      <c r="C29" s="369"/>
      <c r="D29" s="369"/>
      <c r="E29" s="369"/>
      <c r="F29" s="369"/>
      <c r="G29" s="369"/>
      <c r="H29" s="459"/>
      <c r="I29" s="459"/>
      <c r="J29" s="369"/>
      <c r="K29" s="442"/>
      <c r="L29" s="369"/>
      <c r="M29" s="375"/>
    </row>
    <row r="30" spans="2:37" s="2" customFormat="1" ht="20.100000000000001" customHeight="1" x14ac:dyDescent="0.2">
      <c r="B30" s="476" t="str">
        <f>IF(B7="","",B7)</f>
        <v>F1</v>
      </c>
      <c r="C30" s="477"/>
      <c r="D30" s="478" t="str">
        <f>IF(D7="","",D7)</f>
        <v>基礎断熱</v>
      </c>
      <c r="E30" s="479"/>
      <c r="F30" s="479"/>
      <c r="G30" s="477"/>
      <c r="H30" s="480">
        <f>(6.3+10.8)*2</f>
        <v>34.200000000000003</v>
      </c>
      <c r="I30" s="481"/>
      <c r="J30" s="482">
        <v>1</v>
      </c>
      <c r="K30" s="482"/>
      <c r="L30" s="410">
        <f>IF(H30="","",AB19*H30*J30)</f>
        <v>12.491779476291956</v>
      </c>
      <c r="M30" s="483"/>
    </row>
    <row r="31" spans="2:37" s="2" customFormat="1" ht="20.100000000000001" customHeight="1" x14ac:dyDescent="0.2">
      <c r="B31" s="484" t="str">
        <f>IF(B8="","",B8)</f>
        <v/>
      </c>
      <c r="C31" s="485"/>
      <c r="D31" s="486" t="str">
        <f>IF(D8="","",D8)</f>
        <v/>
      </c>
      <c r="E31" s="487"/>
      <c r="F31" s="487"/>
      <c r="G31" s="488"/>
      <c r="H31" s="298"/>
      <c r="I31" s="300"/>
      <c r="J31" s="489"/>
      <c r="K31" s="489"/>
      <c r="L31" s="418" t="str">
        <f>IF(H31="","",AB20*H31*J31)</f>
        <v/>
      </c>
      <c r="M31" s="490"/>
    </row>
    <row r="32" spans="2:37" s="2" customFormat="1" ht="20.100000000000001" customHeight="1" x14ac:dyDescent="0.2">
      <c r="B32" s="491" t="str">
        <f>IF(B9="","",B9)</f>
        <v/>
      </c>
      <c r="C32" s="488"/>
      <c r="D32" s="486" t="str">
        <f>IF(D9="","",D9)</f>
        <v/>
      </c>
      <c r="E32" s="487"/>
      <c r="F32" s="487"/>
      <c r="G32" s="488"/>
      <c r="H32" s="298"/>
      <c r="I32" s="300"/>
      <c r="J32" s="489"/>
      <c r="K32" s="489"/>
      <c r="L32" s="418" t="str">
        <f>IF(H32="","",AB21*H32*J32)</f>
        <v/>
      </c>
      <c r="M32" s="490"/>
    </row>
    <row r="33" spans="2:25" s="2" customFormat="1" ht="20.100000000000001" customHeight="1" x14ac:dyDescent="0.2">
      <c r="B33" s="491" t="str">
        <f>IF(B10="","",B10)</f>
        <v/>
      </c>
      <c r="C33" s="488"/>
      <c r="D33" s="486" t="str">
        <f>IF(D10="","",D10)</f>
        <v/>
      </c>
      <c r="E33" s="487"/>
      <c r="F33" s="487"/>
      <c r="G33" s="488"/>
      <c r="H33" s="298"/>
      <c r="I33" s="300"/>
      <c r="J33" s="489"/>
      <c r="K33" s="489"/>
      <c r="L33" s="418" t="str">
        <f>IF(H33="","",AB22*H33*J33)</f>
        <v/>
      </c>
      <c r="M33" s="490"/>
    </row>
    <row r="34" spans="2:25" s="2" customFormat="1" ht="20.100000000000001" customHeight="1" thickBot="1" x14ac:dyDescent="0.25">
      <c r="B34" s="495" t="str">
        <f>IF(B11="","",B11)</f>
        <v/>
      </c>
      <c r="C34" s="496"/>
      <c r="D34" s="497" t="str">
        <f>IF(D11="","",D11)</f>
        <v/>
      </c>
      <c r="E34" s="498"/>
      <c r="F34" s="498"/>
      <c r="G34" s="496"/>
      <c r="H34" s="499"/>
      <c r="I34" s="500"/>
      <c r="J34" s="501"/>
      <c r="K34" s="502"/>
      <c r="L34" s="503" t="str">
        <f>IF(H34="","",AB23*H34*J34)</f>
        <v/>
      </c>
      <c r="M34" s="504"/>
    </row>
    <row r="35" spans="2:25" s="2" customFormat="1" ht="20.100000000000001" customHeight="1" thickBot="1" x14ac:dyDescent="0.25">
      <c r="B35" s="492" t="s">
        <v>90</v>
      </c>
      <c r="C35" s="493"/>
      <c r="D35" s="493"/>
      <c r="E35" s="493"/>
      <c r="F35" s="493"/>
      <c r="G35" s="493"/>
      <c r="H35" s="493"/>
      <c r="I35" s="493"/>
      <c r="J35" s="493"/>
      <c r="K35" s="493"/>
      <c r="L35" s="426">
        <f>SUM(L30:M34)</f>
        <v>12.491779476291956</v>
      </c>
      <c r="M35" s="494"/>
    </row>
    <row r="36" spans="2:25" s="2" customFormat="1" ht="20.100000000000001" customHeight="1" x14ac:dyDescent="0.2"/>
    <row r="37" spans="2:25" s="2" customFormat="1" ht="20.100000000000001" customHeight="1" x14ac:dyDescent="0.2"/>
    <row r="38" spans="2:25" s="3" customFormat="1" ht="20.100000000000001" customHeight="1" x14ac:dyDescent="0.15"/>
    <row r="39" spans="2:25" s="3" customFormat="1" ht="20.100000000000001" customHeight="1" x14ac:dyDescent="0.15">
      <c r="Y39" s="2"/>
    </row>
    <row r="40" spans="2:25" s="3" customFormat="1" ht="20.100000000000001" customHeight="1" x14ac:dyDescent="0.15">
      <c r="Y40" s="2"/>
    </row>
    <row r="41" spans="2:25" s="3" customFormat="1" ht="20.100000000000001" customHeight="1" x14ac:dyDescent="0.15"/>
    <row r="42" spans="2:25" s="3" customFormat="1" ht="20.100000000000001" customHeight="1" x14ac:dyDescent="0.15"/>
    <row r="43" spans="2:25" s="3" customFormat="1" ht="20.100000000000001" customHeight="1" x14ac:dyDescent="0.15"/>
    <row r="44" spans="2:25" s="3" customFormat="1" ht="20.100000000000001" customHeight="1" x14ac:dyDescent="0.15"/>
    <row r="45" spans="2:25" s="3" customFormat="1" ht="20.100000000000001" customHeight="1" x14ac:dyDescent="0.15"/>
    <row r="46" spans="2:25" s="3" customFormat="1" ht="20.100000000000001" customHeight="1" x14ac:dyDescent="0.15"/>
    <row r="47" spans="2:25" s="3" customFormat="1" ht="20.100000000000001" customHeight="1" x14ac:dyDescent="0.15"/>
    <row r="48" spans="2:25" s="3" customFormat="1" ht="20.100000000000001" customHeight="1" x14ac:dyDescent="0.15"/>
    <row r="49" s="3" customFormat="1" ht="20.100000000000001" customHeight="1" x14ac:dyDescent="0.15"/>
    <row r="50" s="3" customFormat="1" ht="20.100000000000001" customHeight="1" x14ac:dyDescent="0.15"/>
    <row r="51" s="3" customFormat="1" ht="20.100000000000001" customHeight="1" x14ac:dyDescent="0.15"/>
    <row r="52" s="3" customFormat="1" ht="20.100000000000001" customHeight="1" x14ac:dyDescent="0.15"/>
    <row r="53" s="3" customFormat="1" ht="20.100000000000001" customHeight="1" x14ac:dyDescent="0.15"/>
    <row r="54" s="3" customFormat="1" ht="20.100000000000001" customHeight="1" x14ac:dyDescent="0.15"/>
    <row r="55" s="3" customFormat="1" ht="20.100000000000001" customHeight="1" x14ac:dyDescent="0.15"/>
    <row r="56" s="3" customFormat="1" ht="20.100000000000001" customHeight="1" x14ac:dyDescent="0.15"/>
    <row r="57" s="3" customFormat="1" ht="20.100000000000001" customHeight="1" x14ac:dyDescent="0.15"/>
    <row r="58" s="3" customFormat="1" ht="20.100000000000001" customHeight="1" x14ac:dyDescent="0.15"/>
    <row r="59" s="3" customFormat="1" ht="20.100000000000001" customHeight="1" x14ac:dyDescent="0.15"/>
    <row r="60" s="3" customFormat="1" ht="20.100000000000001" customHeight="1" x14ac:dyDescent="0.15"/>
    <row r="61" s="3" customFormat="1" ht="20.100000000000001" customHeight="1" x14ac:dyDescent="0.15"/>
    <row r="62" s="3" customFormat="1" ht="20.100000000000001" customHeight="1" x14ac:dyDescent="0.15"/>
    <row r="63" s="3" customFormat="1" ht="20.100000000000001" customHeight="1" x14ac:dyDescent="0.15"/>
    <row r="64" s="3" customFormat="1" ht="20.100000000000001" customHeight="1" x14ac:dyDescent="0.15"/>
    <row r="65" s="3" customFormat="1" ht="20.100000000000001" customHeight="1" x14ac:dyDescent="0.15"/>
    <row r="66" s="3" customFormat="1" ht="20.100000000000001" customHeight="1" x14ac:dyDescent="0.15"/>
    <row r="67" s="3" customFormat="1" ht="20.100000000000001" customHeight="1" x14ac:dyDescent="0.15"/>
    <row r="68" s="3" customFormat="1" ht="20.100000000000001" customHeight="1" x14ac:dyDescent="0.15"/>
    <row r="69" s="3" customFormat="1" ht="20.100000000000001" customHeight="1" x14ac:dyDescent="0.15"/>
    <row r="70" s="3" customFormat="1" ht="20.100000000000001" customHeight="1" x14ac:dyDescent="0.15"/>
    <row r="71" s="3" customFormat="1" ht="20.100000000000001" customHeight="1" x14ac:dyDescent="0.15"/>
    <row r="72" s="3" customFormat="1" ht="20.100000000000001" customHeight="1" x14ac:dyDescent="0.15"/>
    <row r="73" s="3" customFormat="1" ht="20.100000000000001" customHeight="1" x14ac:dyDescent="0.15"/>
    <row r="74" s="3" customFormat="1" ht="20.100000000000001" customHeight="1" x14ac:dyDescent="0.15"/>
    <row r="75" s="3" customFormat="1" ht="20.100000000000001" customHeight="1" x14ac:dyDescent="0.15"/>
    <row r="76" s="3" customFormat="1" ht="20.100000000000001" customHeight="1" x14ac:dyDescent="0.15"/>
    <row r="77" s="3" customFormat="1" ht="20.100000000000001" customHeight="1" x14ac:dyDescent="0.15"/>
    <row r="78" s="3" customFormat="1" ht="20.100000000000001" customHeight="1" x14ac:dyDescent="0.15"/>
    <row r="79" s="3" customFormat="1" ht="20.100000000000001" customHeight="1" x14ac:dyDescent="0.15"/>
    <row r="80" s="3" customFormat="1" ht="20.100000000000001" customHeight="1" x14ac:dyDescent="0.15"/>
    <row r="81" s="3" customFormat="1" ht="20.100000000000001" customHeight="1" x14ac:dyDescent="0.15"/>
    <row r="82" s="3" customFormat="1" ht="20.100000000000001" customHeight="1" x14ac:dyDescent="0.15"/>
    <row r="83" s="3" customFormat="1" ht="20.100000000000001" customHeight="1" x14ac:dyDescent="0.15"/>
    <row r="84" s="3" customFormat="1" ht="20.100000000000001" customHeight="1" x14ac:dyDescent="0.15"/>
    <row r="85" s="3" customFormat="1" ht="20.100000000000001" customHeight="1" x14ac:dyDescent="0.15"/>
    <row r="86" s="3" customFormat="1" ht="20.100000000000001" customHeight="1" x14ac:dyDescent="0.15"/>
    <row r="87" s="3" customFormat="1" ht="20.100000000000001" customHeight="1" x14ac:dyDescent="0.15"/>
    <row r="88" s="3" customFormat="1" ht="20.100000000000001" customHeight="1" x14ac:dyDescent="0.15"/>
    <row r="89" s="3" customFormat="1" ht="20.100000000000001" customHeight="1" x14ac:dyDescent="0.15"/>
    <row r="90" s="3" customFormat="1" ht="20.100000000000001" customHeight="1" x14ac:dyDescent="0.15"/>
    <row r="91" s="3" customFormat="1" ht="20.100000000000001" customHeight="1" x14ac:dyDescent="0.15"/>
    <row r="92" s="3" customFormat="1" ht="20.100000000000001" customHeight="1" x14ac:dyDescent="0.15"/>
    <row r="93" s="3" customFormat="1" ht="20.100000000000001" customHeight="1" x14ac:dyDescent="0.15"/>
    <row r="94" s="3" customFormat="1" ht="20.100000000000001" customHeight="1" x14ac:dyDescent="0.15"/>
    <row r="95" s="3" customFormat="1" ht="20.100000000000001" customHeight="1" x14ac:dyDescent="0.15"/>
    <row r="96" s="3" customFormat="1" ht="20.100000000000001" customHeight="1" x14ac:dyDescent="0.15"/>
    <row r="97" s="3" customFormat="1" ht="20.100000000000001" customHeight="1" x14ac:dyDescent="0.15"/>
    <row r="98" s="3" customFormat="1" ht="20.100000000000001" customHeight="1" x14ac:dyDescent="0.15"/>
    <row r="99" s="3" customFormat="1" ht="20.100000000000001" customHeight="1" x14ac:dyDescent="0.15"/>
    <row r="100" s="3" customFormat="1" ht="20.100000000000001" customHeight="1" x14ac:dyDescent="0.15"/>
    <row r="101" s="3" customFormat="1" ht="20.100000000000001" customHeight="1" x14ac:dyDescent="0.15"/>
    <row r="102" s="3" customFormat="1" ht="20.100000000000001" customHeight="1" x14ac:dyDescent="0.15"/>
    <row r="103" s="3" customFormat="1" ht="20.100000000000001" customHeight="1" x14ac:dyDescent="0.15"/>
    <row r="104" s="3" customFormat="1" ht="20.100000000000001" customHeight="1" x14ac:dyDescent="0.15"/>
    <row r="105" s="3" customFormat="1" ht="20.100000000000001" customHeight="1" x14ac:dyDescent="0.15"/>
    <row r="106" s="3" customFormat="1" ht="20.100000000000001" customHeight="1" x14ac:dyDescent="0.15"/>
    <row r="107" s="3" customFormat="1" ht="20.100000000000001" customHeight="1" x14ac:dyDescent="0.15"/>
    <row r="108" s="3" customFormat="1" ht="20.100000000000001" customHeight="1" x14ac:dyDescent="0.15"/>
    <row r="109" s="3" customFormat="1" ht="20.100000000000001" customHeight="1" x14ac:dyDescent="0.15"/>
    <row r="110" s="3" customFormat="1" ht="20.100000000000001" customHeight="1" x14ac:dyDescent="0.15"/>
    <row r="111" s="3" customFormat="1" ht="20.100000000000001" customHeight="1" x14ac:dyDescent="0.15"/>
    <row r="112" s="3" customFormat="1" ht="20.100000000000001" customHeight="1" x14ac:dyDescent="0.15"/>
    <row r="113" s="3" customFormat="1" ht="20.100000000000001" customHeight="1" x14ac:dyDescent="0.15"/>
    <row r="114" s="3" customFormat="1" ht="20.100000000000001" customHeight="1" x14ac:dyDescent="0.15"/>
    <row r="115" s="3" customFormat="1" ht="20.100000000000001" customHeight="1" x14ac:dyDescent="0.15"/>
    <row r="116" s="3" customFormat="1" ht="20.100000000000001" customHeight="1" x14ac:dyDescent="0.15"/>
    <row r="117" s="3" customFormat="1" ht="20.100000000000001" customHeight="1" x14ac:dyDescent="0.15"/>
    <row r="118" s="3" customFormat="1" ht="20.100000000000001" customHeight="1" x14ac:dyDescent="0.15"/>
    <row r="119" s="3" customFormat="1" ht="20.100000000000001" customHeight="1" x14ac:dyDescent="0.15"/>
    <row r="120" s="3" customFormat="1" ht="20.100000000000001" customHeight="1" x14ac:dyDescent="0.15"/>
    <row r="121" s="3" customFormat="1" ht="20.100000000000001" customHeight="1" x14ac:dyDescent="0.15"/>
    <row r="122" s="3" customFormat="1" ht="20.100000000000001" customHeight="1" x14ac:dyDescent="0.15"/>
    <row r="123" s="3" customFormat="1" ht="20.100000000000001" customHeight="1" x14ac:dyDescent="0.15"/>
    <row r="124" s="3" customFormat="1" ht="20.100000000000001" customHeight="1" x14ac:dyDescent="0.15"/>
    <row r="125" s="3" customFormat="1" ht="20.100000000000001" customHeight="1" x14ac:dyDescent="0.15"/>
    <row r="126" s="3" customFormat="1" ht="20.100000000000001" customHeight="1" x14ac:dyDescent="0.15"/>
    <row r="127" s="3" customFormat="1" ht="20.100000000000001" customHeight="1" x14ac:dyDescent="0.15"/>
    <row r="128" s="3" customFormat="1" ht="20.100000000000001" customHeight="1" x14ac:dyDescent="0.15"/>
    <row r="129" s="3" customFormat="1" ht="20.100000000000001" customHeight="1" x14ac:dyDescent="0.15"/>
    <row r="130" s="3" customFormat="1" ht="20.100000000000001" customHeight="1" x14ac:dyDescent="0.15"/>
    <row r="131" s="3" customFormat="1" ht="20.100000000000001" customHeight="1" x14ac:dyDescent="0.15"/>
    <row r="132" s="3" customFormat="1" ht="20.100000000000001" customHeight="1" x14ac:dyDescent="0.15"/>
    <row r="133" s="3" customFormat="1" ht="20.100000000000001" customHeight="1" x14ac:dyDescent="0.15"/>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sheetData>
  <sheetProtection algorithmName="SHA-512" hashValue="IeO/+H/Ig+GRX8xRP848+b8j0uH6XeajF6HxA3qMqL22p8xte8w4Oe22ODrfk16wFD0IJ+nyasEhOncYp1CmAA==" saltValue="/N7OBw5mKSGUfWXVrTdDaw==" spinCount="100000" sheet="1" objects="1" scenarios="1" selectLockedCells="1"/>
  <mergeCells count="132">
    <mergeCell ref="B35:K35"/>
    <mergeCell ref="L35:M35"/>
    <mergeCell ref="B33:C33"/>
    <mergeCell ref="D33:G33"/>
    <mergeCell ref="H33:I33"/>
    <mergeCell ref="J33:K33"/>
    <mergeCell ref="L33:M33"/>
    <mergeCell ref="B34:C34"/>
    <mergeCell ref="D34:G34"/>
    <mergeCell ref="H34:I34"/>
    <mergeCell ref="J34:K34"/>
    <mergeCell ref="L34:M34"/>
    <mergeCell ref="B31:C31"/>
    <mergeCell ref="D31:G31"/>
    <mergeCell ref="H31:I31"/>
    <mergeCell ref="J31:K31"/>
    <mergeCell ref="L31:M31"/>
    <mergeCell ref="B32:C32"/>
    <mergeCell ref="D32:G32"/>
    <mergeCell ref="H32:I32"/>
    <mergeCell ref="J32:K32"/>
    <mergeCell ref="L32:M32"/>
    <mergeCell ref="B30:C30"/>
    <mergeCell ref="D30:G30"/>
    <mergeCell ref="H30:I30"/>
    <mergeCell ref="J30:K30"/>
    <mergeCell ref="L30:M30"/>
    <mergeCell ref="B28:C29"/>
    <mergeCell ref="D28:G29"/>
    <mergeCell ref="H28:I29"/>
    <mergeCell ref="J28:K29"/>
    <mergeCell ref="L28:M29"/>
    <mergeCell ref="B22:C22"/>
    <mergeCell ref="D22:G22"/>
    <mergeCell ref="H22:I22"/>
    <mergeCell ref="J22:K22"/>
    <mergeCell ref="L22:M22"/>
    <mergeCell ref="N22:O22"/>
    <mergeCell ref="P22:Q22"/>
    <mergeCell ref="X23:Y23"/>
    <mergeCell ref="Z23:AA23"/>
    <mergeCell ref="V22:W22"/>
    <mergeCell ref="X22:Y22"/>
    <mergeCell ref="Z22:AA22"/>
    <mergeCell ref="R23:S23"/>
    <mergeCell ref="T23:U23"/>
    <mergeCell ref="V23:W23"/>
    <mergeCell ref="P23:Q23"/>
    <mergeCell ref="B23:C23"/>
    <mergeCell ref="D23:G23"/>
    <mergeCell ref="H23:I23"/>
    <mergeCell ref="J23:K23"/>
    <mergeCell ref="AB20:AC20"/>
    <mergeCell ref="R22:S22"/>
    <mergeCell ref="T22:U22"/>
    <mergeCell ref="P21:Q21"/>
    <mergeCell ref="R21:S21"/>
    <mergeCell ref="T21:U21"/>
    <mergeCell ref="V21:W21"/>
    <mergeCell ref="L23:M23"/>
    <mergeCell ref="N23:O23"/>
    <mergeCell ref="AB21:AC21"/>
    <mergeCell ref="AB22:AC22"/>
    <mergeCell ref="AB23:AC23"/>
    <mergeCell ref="B21:C21"/>
    <mergeCell ref="D21:G21"/>
    <mergeCell ref="H21:I21"/>
    <mergeCell ref="J21:K21"/>
    <mergeCell ref="L21:M21"/>
    <mergeCell ref="N21:O21"/>
    <mergeCell ref="X21:Y21"/>
    <mergeCell ref="Z21:AA21"/>
    <mergeCell ref="V20:W20"/>
    <mergeCell ref="X20:Y20"/>
    <mergeCell ref="Z20:AA20"/>
    <mergeCell ref="B20:C20"/>
    <mergeCell ref="D20:G20"/>
    <mergeCell ref="H20:I20"/>
    <mergeCell ref="J20:K20"/>
    <mergeCell ref="L20:M20"/>
    <mergeCell ref="N20:O20"/>
    <mergeCell ref="P20:Q20"/>
    <mergeCell ref="R20:S20"/>
    <mergeCell ref="T20:U20"/>
    <mergeCell ref="R17:S18"/>
    <mergeCell ref="T17:U18"/>
    <mergeCell ref="V17:W18"/>
    <mergeCell ref="X17:Y18"/>
    <mergeCell ref="Z17:AA18"/>
    <mergeCell ref="AB17:AC18"/>
    <mergeCell ref="AG17:AK17"/>
    <mergeCell ref="B19:C19"/>
    <mergeCell ref="D19:G19"/>
    <mergeCell ref="H19:I19"/>
    <mergeCell ref="J19:K19"/>
    <mergeCell ref="L19:M19"/>
    <mergeCell ref="N19:O19"/>
    <mergeCell ref="P19:Q19"/>
    <mergeCell ref="R19:S19"/>
    <mergeCell ref="T19:U19"/>
    <mergeCell ref="V19:W19"/>
    <mergeCell ref="X19:Y19"/>
    <mergeCell ref="Z19:AA19"/>
    <mergeCell ref="AB19:AC19"/>
    <mergeCell ref="B12:G12"/>
    <mergeCell ref="H12:I12"/>
    <mergeCell ref="B17:C18"/>
    <mergeCell ref="D17:G18"/>
    <mergeCell ref="H17:I18"/>
    <mergeCell ref="J17:K18"/>
    <mergeCell ref="L17:M18"/>
    <mergeCell ref="N17:O18"/>
    <mergeCell ref="P17:Q18"/>
    <mergeCell ref="B9:C9"/>
    <mergeCell ref="D9:G9"/>
    <mergeCell ref="H9:I9"/>
    <mergeCell ref="B10:C10"/>
    <mergeCell ref="D10:G10"/>
    <mergeCell ref="H10:I10"/>
    <mergeCell ref="B11:C11"/>
    <mergeCell ref="D11:G11"/>
    <mergeCell ref="H11:I11"/>
    <mergeCell ref="B2:AC2"/>
    <mergeCell ref="B5:C6"/>
    <mergeCell ref="D5:G6"/>
    <mergeCell ref="H5:I6"/>
    <mergeCell ref="B7:C7"/>
    <mergeCell ref="D7:G7"/>
    <mergeCell ref="H7:I7"/>
    <mergeCell ref="B8:C8"/>
    <mergeCell ref="D8:G8"/>
    <mergeCell ref="H8:I8"/>
  </mergeCells>
  <phoneticPr fontId="2"/>
  <conditionalFormatting sqref="L35:M35">
    <cfRule type="expression" dxfId="1" priority="2" stopIfTrue="1">
      <formula>$L$35=0</formula>
    </cfRule>
  </conditionalFormatting>
  <conditionalFormatting sqref="H12:I15">
    <cfRule type="expression" dxfId="0" priority="1" stopIfTrue="1">
      <formula>$H$12=0</formula>
    </cfRule>
  </conditionalFormatting>
  <dataValidations count="2">
    <dataValidation type="list" allowBlank="1" showInputMessage="1" showErrorMessage="1" sqref="D7:G11 D19:G23">
      <formula1>"基礎断熱,玄関土間,勝手口土間,その他"</formula1>
    </dataValidation>
    <dataValidation type="list" allowBlank="1" showInputMessage="1" showErrorMessage="1" sqref="J30:K34">
      <formula1>"　,1.0,0.7"</formula1>
    </dataValidation>
  </dataValidations>
  <printOptions horizontalCentered="1"/>
  <pageMargins left="0.59055118110236227" right="0.15748031496062992" top="0.98425196850393704" bottom="0.78740157480314965" header="0.31496062992125984" footer="0.39370078740157483"/>
  <pageSetup paperSize="9" scale="88" orientation="portrait" horizontalDpi="300" verticalDpi="300" r:id="rId1"/>
  <headerFooter>
    <oddHeader>&amp;Rver. 1.8[H28]</oddHeader>
    <oddFooter>&amp;Cⓒ　2013 hyoukakyoukai.All right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B1:F40"/>
  <sheetViews>
    <sheetView showGridLines="0" tabSelected="1" view="pageBreakPreview" zoomScaleNormal="100" zoomScaleSheetLayoutView="100" workbookViewId="0">
      <selection activeCell="I42" sqref="I42"/>
    </sheetView>
  </sheetViews>
  <sheetFormatPr defaultRowHeight="13.2" x14ac:dyDescent="0.2"/>
  <cols>
    <col min="1" max="1" width="0.77734375" customWidth="1"/>
    <col min="2" max="2" width="10.44140625" bestFit="1" customWidth="1"/>
  </cols>
  <sheetData>
    <row r="1" spans="2:2" ht="3" customHeight="1" x14ac:dyDescent="0.2"/>
    <row r="2" spans="2:2" x14ac:dyDescent="0.2">
      <c r="B2" t="s">
        <v>100</v>
      </c>
    </row>
    <row r="3" spans="2:2" x14ac:dyDescent="0.2">
      <c r="B3" s="84">
        <v>42570</v>
      </c>
    </row>
    <row r="4" spans="2:2" x14ac:dyDescent="0.2">
      <c r="B4" t="s">
        <v>214</v>
      </c>
    </row>
    <row r="5" spans="2:2" x14ac:dyDescent="0.2">
      <c r="B5" t="s">
        <v>101</v>
      </c>
    </row>
    <row r="6" spans="2:2" x14ac:dyDescent="0.2">
      <c r="B6" t="s">
        <v>195</v>
      </c>
    </row>
    <row r="9" spans="2:2" x14ac:dyDescent="0.2">
      <c r="B9" s="84">
        <v>42627</v>
      </c>
    </row>
    <row r="10" spans="2:2" x14ac:dyDescent="0.2">
      <c r="B10" t="s">
        <v>213</v>
      </c>
    </row>
    <row r="11" spans="2:2" x14ac:dyDescent="0.2">
      <c r="B11" t="s">
        <v>101</v>
      </c>
    </row>
    <row r="12" spans="2:2" x14ac:dyDescent="0.2">
      <c r="B12" t="s">
        <v>196</v>
      </c>
    </row>
    <row r="14" spans="2:2" x14ac:dyDescent="0.2">
      <c r="B14" s="84">
        <v>43341</v>
      </c>
    </row>
    <row r="15" spans="2:2" x14ac:dyDescent="0.2">
      <c r="B15" t="s">
        <v>212</v>
      </c>
    </row>
    <row r="16" spans="2:2" x14ac:dyDescent="0.2">
      <c r="B16" t="s">
        <v>203</v>
      </c>
    </row>
    <row r="17" spans="2:6" x14ac:dyDescent="0.2">
      <c r="B17" t="s">
        <v>204</v>
      </c>
    </row>
    <row r="19" spans="2:6" x14ac:dyDescent="0.2">
      <c r="B19" s="92">
        <v>43435</v>
      </c>
      <c r="C19" s="93"/>
      <c r="D19" s="93"/>
      <c r="E19" s="93"/>
      <c r="F19" s="93"/>
    </row>
    <row r="20" spans="2:6" x14ac:dyDescent="0.2">
      <c r="B20" s="93" t="s">
        <v>211</v>
      </c>
      <c r="C20" s="93"/>
      <c r="D20" s="93"/>
      <c r="E20" s="93"/>
      <c r="F20" s="93"/>
    </row>
    <row r="21" spans="2:6" x14ac:dyDescent="0.2">
      <c r="B21" s="93" t="s">
        <v>206</v>
      </c>
      <c r="C21" s="93"/>
      <c r="D21" s="93"/>
      <c r="E21" s="93"/>
      <c r="F21" s="93"/>
    </row>
    <row r="22" spans="2:6" x14ac:dyDescent="0.2">
      <c r="B22" s="93" t="s">
        <v>210</v>
      </c>
      <c r="C22" s="93"/>
      <c r="D22" s="93"/>
      <c r="E22" s="93"/>
      <c r="F22" s="93"/>
    </row>
    <row r="24" spans="2:6" x14ac:dyDescent="0.2">
      <c r="B24" s="84">
        <v>43614</v>
      </c>
    </row>
    <row r="25" spans="2:6" x14ac:dyDescent="0.2">
      <c r="B25" s="93" t="s">
        <v>223</v>
      </c>
    </row>
    <row r="26" spans="2:6" x14ac:dyDescent="0.2">
      <c r="B26" s="93" t="s">
        <v>217</v>
      </c>
    </row>
    <row r="27" spans="2:6" x14ac:dyDescent="0.2">
      <c r="B27" s="93" t="s">
        <v>215</v>
      </c>
    </row>
    <row r="28" spans="2:6" x14ac:dyDescent="0.2">
      <c r="B28" s="93" t="s">
        <v>216</v>
      </c>
    </row>
    <row r="29" spans="2:6" x14ac:dyDescent="0.2">
      <c r="B29" s="93" t="s">
        <v>218</v>
      </c>
    </row>
    <row r="30" spans="2:6" x14ac:dyDescent="0.2">
      <c r="B30" s="93" t="s">
        <v>219</v>
      </c>
    </row>
    <row r="31" spans="2:6" x14ac:dyDescent="0.2">
      <c r="B31" s="93" t="s">
        <v>220</v>
      </c>
    </row>
    <row r="32" spans="2:6" x14ac:dyDescent="0.2">
      <c r="B32" s="93" t="s">
        <v>221</v>
      </c>
    </row>
    <row r="34" spans="2:2" x14ac:dyDescent="0.2">
      <c r="B34" s="84">
        <v>43858</v>
      </c>
    </row>
    <row r="35" spans="2:2" x14ac:dyDescent="0.2">
      <c r="B35" s="93" t="s">
        <v>234</v>
      </c>
    </row>
    <row r="36" spans="2:2" x14ac:dyDescent="0.2">
      <c r="B36" s="93" t="s">
        <v>222</v>
      </c>
    </row>
    <row r="38" spans="2:2" x14ac:dyDescent="0.2">
      <c r="B38" s="100" t="s">
        <v>236</v>
      </c>
    </row>
    <row r="39" spans="2:2" x14ac:dyDescent="0.2">
      <c r="B39" s="93" t="s">
        <v>233</v>
      </c>
    </row>
    <row r="40" spans="2:2" x14ac:dyDescent="0.2">
      <c r="B40" s="93" t="s">
        <v>235</v>
      </c>
    </row>
  </sheetData>
  <sheetProtection algorithmName="SHA-512" hashValue="QdZV2EU5hNNZQdjk+OhmLrTVhcoGCY4YdeL3N66uJOXoYPseq/6/u73EWVsOK+dmm3zIRQSZFefzZ7OpJjpszQ==" saltValue="ElLubaM2FEYUcmJkpLkyxA==" spinCount="100000" sheet="1" objects="1" scenarios="1" selectLockedCells="1"/>
  <phoneticPr fontId="2"/>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B1:AN147"/>
  <sheetViews>
    <sheetView showGridLines="0" view="pageBreakPreview" topLeftCell="A13" zoomScaleNormal="100" zoomScaleSheetLayoutView="100" workbookViewId="0">
      <selection activeCell="K7" sqref="K7:W7"/>
    </sheetView>
  </sheetViews>
  <sheetFormatPr defaultRowHeight="13.2" x14ac:dyDescent="0.2"/>
  <cols>
    <col min="1" max="1" width="0.77734375" customWidth="1"/>
    <col min="2" max="29" width="3.6640625" customWidth="1"/>
    <col min="30" max="31" width="3.6640625" hidden="1" customWidth="1"/>
    <col min="32" max="32" width="8" hidden="1" customWidth="1"/>
    <col min="33" max="38" width="10.6640625" hidden="1" customWidth="1"/>
    <col min="39" max="53" width="3.6640625" customWidth="1"/>
  </cols>
  <sheetData>
    <row r="1" spans="2:40" ht="4.5" customHeight="1" x14ac:dyDescent="0.2"/>
    <row r="2" spans="2:40" ht="30" customHeight="1" x14ac:dyDescent="0.2">
      <c r="B2" s="140" t="s">
        <v>181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2:40" ht="24.9" customHeight="1" x14ac:dyDescent="0.2">
      <c r="B3" s="141" t="s">
        <v>180</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2:40" ht="30" customHeight="1" x14ac:dyDescent="0.2">
      <c r="AG4" s="138" t="s">
        <v>94</v>
      </c>
      <c r="AH4" s="138"/>
      <c r="AI4" s="138"/>
      <c r="AJ4" s="138"/>
      <c r="AK4" s="138"/>
      <c r="AL4" s="138"/>
    </row>
    <row r="5" spans="2:40" ht="30" customHeight="1" thickBot="1" x14ac:dyDescent="0.25">
      <c r="B5" s="4" t="s">
        <v>26</v>
      </c>
      <c r="AF5" s="57"/>
      <c r="AG5" s="139" t="s">
        <v>151</v>
      </c>
      <c r="AH5" s="139"/>
      <c r="AI5" s="139" t="s">
        <v>152</v>
      </c>
      <c r="AJ5" s="139"/>
      <c r="AK5" s="139" t="s">
        <v>153</v>
      </c>
      <c r="AL5" s="139"/>
    </row>
    <row r="6" spans="2:40" s="2" customFormat="1" ht="30" customHeight="1" x14ac:dyDescent="0.2">
      <c r="B6" s="149" t="s">
        <v>27</v>
      </c>
      <c r="C6" s="150"/>
      <c r="D6" s="150"/>
      <c r="E6" s="150"/>
      <c r="F6" s="150"/>
      <c r="G6" s="150"/>
      <c r="H6" s="150"/>
      <c r="I6" s="151"/>
      <c r="J6" s="13"/>
      <c r="K6" s="152" t="s">
        <v>237</v>
      </c>
      <c r="L6" s="152"/>
      <c r="M6" s="152"/>
      <c r="N6" s="152"/>
      <c r="O6" s="152"/>
      <c r="P6" s="152"/>
      <c r="Q6" s="152"/>
      <c r="R6" s="152"/>
      <c r="S6" s="152"/>
      <c r="T6" s="152"/>
      <c r="U6" s="152"/>
      <c r="V6" s="152"/>
      <c r="W6" s="152"/>
      <c r="X6" s="152"/>
      <c r="Y6" s="152"/>
      <c r="Z6" s="152"/>
      <c r="AA6" s="152"/>
      <c r="AB6" s="152"/>
      <c r="AC6" s="153"/>
      <c r="AF6" s="57"/>
      <c r="AG6" s="58" t="s">
        <v>154</v>
      </c>
      <c r="AH6" s="58" t="s">
        <v>155</v>
      </c>
      <c r="AI6" s="58" t="s">
        <v>154</v>
      </c>
      <c r="AJ6" s="58" t="s">
        <v>155</v>
      </c>
      <c r="AK6" s="58" t="s">
        <v>154</v>
      </c>
      <c r="AL6" s="58" t="s">
        <v>155</v>
      </c>
    </row>
    <row r="7" spans="2:40" s="2" customFormat="1" ht="30" customHeight="1" x14ac:dyDescent="0.2">
      <c r="B7" s="142" t="s">
        <v>28</v>
      </c>
      <c r="C7" s="143"/>
      <c r="D7" s="143"/>
      <c r="E7" s="143"/>
      <c r="F7" s="143"/>
      <c r="G7" s="143"/>
      <c r="H7" s="143"/>
      <c r="I7" s="144"/>
      <c r="J7" s="14"/>
      <c r="K7" s="145" t="s">
        <v>238</v>
      </c>
      <c r="L7" s="145"/>
      <c r="M7" s="145"/>
      <c r="N7" s="145"/>
      <c r="O7" s="145"/>
      <c r="P7" s="145"/>
      <c r="Q7" s="145"/>
      <c r="R7" s="145"/>
      <c r="S7" s="145"/>
      <c r="T7" s="145"/>
      <c r="U7" s="145"/>
      <c r="V7" s="145"/>
      <c r="W7" s="146"/>
      <c r="X7" s="147" t="s">
        <v>30</v>
      </c>
      <c r="Y7" s="148"/>
      <c r="Z7" s="148"/>
      <c r="AA7" s="165" t="s">
        <v>239</v>
      </c>
      <c r="AB7" s="165"/>
      <c r="AC7" s="166"/>
      <c r="AF7" s="58" t="s">
        <v>183</v>
      </c>
      <c r="AG7" s="58">
        <v>0.46</v>
      </c>
      <c r="AH7" s="59" t="s">
        <v>156</v>
      </c>
      <c r="AI7" s="58">
        <v>0.54</v>
      </c>
      <c r="AJ7" s="59" t="s">
        <v>156</v>
      </c>
      <c r="AK7" s="58">
        <v>0.72</v>
      </c>
      <c r="AL7" s="59" t="s">
        <v>156</v>
      </c>
    </row>
    <row r="8" spans="2:40" s="2" customFormat="1" ht="30" customHeight="1" thickBot="1" x14ac:dyDescent="0.25">
      <c r="B8" s="133" t="s">
        <v>29</v>
      </c>
      <c r="C8" s="134"/>
      <c r="D8" s="134"/>
      <c r="E8" s="134"/>
      <c r="F8" s="134"/>
      <c r="G8" s="134"/>
      <c r="H8" s="134"/>
      <c r="I8" s="135"/>
      <c r="J8" s="12"/>
      <c r="K8" s="21"/>
      <c r="L8" s="21"/>
      <c r="M8" s="154" t="s">
        <v>31</v>
      </c>
      <c r="N8" s="154"/>
      <c r="O8" s="155">
        <v>2</v>
      </c>
      <c r="P8" s="155"/>
      <c r="Q8" s="21" t="s">
        <v>2</v>
      </c>
      <c r="R8" s="154" t="s">
        <v>32</v>
      </c>
      <c r="S8" s="154"/>
      <c r="T8" s="155">
        <v>0</v>
      </c>
      <c r="U8" s="155"/>
      <c r="V8" s="21" t="s">
        <v>2</v>
      </c>
      <c r="W8" s="21"/>
      <c r="X8" s="21"/>
      <c r="Y8" s="21"/>
      <c r="Z8" s="21"/>
      <c r="AA8" s="21"/>
      <c r="AB8" s="21"/>
      <c r="AC8" s="22"/>
      <c r="AF8" s="58" t="s">
        <v>184</v>
      </c>
      <c r="AG8" s="58">
        <v>0.46</v>
      </c>
      <c r="AH8" s="59" t="s">
        <v>156</v>
      </c>
      <c r="AI8" s="58">
        <v>0.54</v>
      </c>
      <c r="AJ8" s="59" t="s">
        <v>156</v>
      </c>
      <c r="AK8" s="58">
        <v>0.72</v>
      </c>
      <c r="AL8" s="59" t="s">
        <v>156</v>
      </c>
    </row>
    <row r="9" spans="2:40" s="2" customFormat="1" ht="30" customHeight="1" x14ac:dyDescent="0.2">
      <c r="AF9" s="58" t="s">
        <v>185</v>
      </c>
      <c r="AG9" s="58">
        <v>0.56000000000000005</v>
      </c>
      <c r="AH9" s="59" t="s">
        <v>156</v>
      </c>
      <c r="AI9" s="58">
        <v>1.04</v>
      </c>
      <c r="AJ9" s="59" t="s">
        <v>156</v>
      </c>
      <c r="AK9" s="58">
        <v>1.21</v>
      </c>
      <c r="AL9" s="59" t="s">
        <v>156</v>
      </c>
    </row>
    <row r="10" spans="2:40" s="2" customFormat="1" ht="30" customHeight="1" thickBot="1" x14ac:dyDescent="0.25">
      <c r="B10" s="4" t="s">
        <v>33</v>
      </c>
      <c r="AF10" s="58" t="s">
        <v>186</v>
      </c>
      <c r="AG10" s="58">
        <v>0.75</v>
      </c>
      <c r="AH10" s="59" t="s">
        <v>156</v>
      </c>
      <c r="AI10" s="58">
        <v>1.25</v>
      </c>
      <c r="AJ10" s="59" t="s">
        <v>156</v>
      </c>
      <c r="AK10" s="58">
        <v>1.47</v>
      </c>
      <c r="AL10" s="59" t="s">
        <v>156</v>
      </c>
    </row>
    <row r="11" spans="2:40" s="2" customFormat="1" ht="30" customHeight="1" x14ac:dyDescent="0.2">
      <c r="B11" s="126" t="s">
        <v>174</v>
      </c>
      <c r="C11" s="127"/>
      <c r="D11" s="127"/>
      <c r="E11" s="127"/>
      <c r="F11" s="127"/>
      <c r="G11" s="127"/>
      <c r="H11" s="127"/>
      <c r="I11" s="128"/>
      <c r="J11" s="129">
        <f>ROUND('Ａ（北）'!L41+'Ａ（北東）'!L41+'Ａ（東）'!L41+'Ａ（南東）'!L41+'Ａ（南）'!L41+'Ａ（南西）'!L41+'Ａ（西）'!L41+'Ａ（北西）'!L41+'Ｂ（屋根・床等）'!P30+'Ｃ（基礎）'!H12,2)</f>
        <v>338.07</v>
      </c>
      <c r="K11" s="130"/>
      <c r="L11" s="130"/>
      <c r="M11" s="131" t="s">
        <v>24</v>
      </c>
      <c r="N11" s="132"/>
      <c r="O11" s="126" t="s">
        <v>177</v>
      </c>
      <c r="P11" s="127"/>
      <c r="Q11" s="127"/>
      <c r="R11" s="127"/>
      <c r="S11" s="127"/>
      <c r="T11" s="127"/>
      <c r="U11" s="127"/>
      <c r="V11" s="127"/>
      <c r="W11" s="128"/>
      <c r="X11" s="173">
        <f>IF(AH20=0,0,ROUNDUP((AH20/J11)*100,1))</f>
        <v>1.5</v>
      </c>
      <c r="Y11" s="174"/>
      <c r="Z11" s="174"/>
      <c r="AA11" s="174"/>
      <c r="AB11" s="82"/>
      <c r="AC11" s="83"/>
      <c r="AF11" s="58" t="s">
        <v>187</v>
      </c>
      <c r="AG11" s="58">
        <v>0.87</v>
      </c>
      <c r="AH11" s="59">
        <v>3</v>
      </c>
      <c r="AI11" s="58">
        <v>1.54</v>
      </c>
      <c r="AJ11" s="59">
        <v>4</v>
      </c>
      <c r="AK11" s="58">
        <v>1.67</v>
      </c>
      <c r="AL11" s="59" t="s">
        <v>156</v>
      </c>
    </row>
    <row r="12" spans="2:40" s="2" customFormat="1" ht="30" customHeight="1" thickBot="1" x14ac:dyDescent="0.25">
      <c r="B12" s="133" t="s">
        <v>175</v>
      </c>
      <c r="C12" s="134"/>
      <c r="D12" s="134"/>
      <c r="E12" s="134"/>
      <c r="F12" s="134"/>
      <c r="G12" s="134"/>
      <c r="H12" s="134"/>
      <c r="I12" s="135"/>
      <c r="J12" s="121">
        <f>IF(AH19=0,0,ROUNDUP(AH19/J11,2))</f>
        <v>0.31</v>
      </c>
      <c r="K12" s="121"/>
      <c r="L12" s="121"/>
      <c r="M12" s="136" t="s">
        <v>176</v>
      </c>
      <c r="N12" s="137"/>
      <c r="O12" s="133" t="s">
        <v>178</v>
      </c>
      <c r="P12" s="134"/>
      <c r="Q12" s="134"/>
      <c r="R12" s="134"/>
      <c r="S12" s="134"/>
      <c r="T12" s="134"/>
      <c r="U12" s="134"/>
      <c r="V12" s="134"/>
      <c r="W12" s="135"/>
      <c r="X12" s="120">
        <f>IF(AH21=0,0,ROUNDDOWN((AH21/J11)*100,1))</f>
        <v>1.2</v>
      </c>
      <c r="Y12" s="121"/>
      <c r="Z12" s="121"/>
      <c r="AA12" s="121"/>
      <c r="AB12" s="167"/>
      <c r="AC12" s="168"/>
      <c r="AF12" s="58" t="s">
        <v>188</v>
      </c>
      <c r="AG12" s="58">
        <v>0.87</v>
      </c>
      <c r="AH12" s="59">
        <v>2.8</v>
      </c>
      <c r="AI12" s="58">
        <v>1.54</v>
      </c>
      <c r="AJ12" s="59">
        <v>3.8</v>
      </c>
      <c r="AK12" s="58">
        <v>1.67</v>
      </c>
      <c r="AL12" s="59" t="s">
        <v>156</v>
      </c>
    </row>
    <row r="13" spans="2:40" s="2" customFormat="1" ht="30" customHeight="1" x14ac:dyDescent="0.2">
      <c r="B13" s="41"/>
      <c r="C13" s="41"/>
      <c r="D13" s="41"/>
      <c r="E13" s="41"/>
      <c r="F13" s="41"/>
      <c r="G13" s="41"/>
      <c r="H13" s="41"/>
      <c r="I13" s="41"/>
      <c r="J13" s="60"/>
      <c r="K13" s="60"/>
      <c r="L13" s="60"/>
      <c r="M13" s="78"/>
      <c r="N13" s="81"/>
      <c r="AF13" s="58" t="s">
        <v>189</v>
      </c>
      <c r="AG13" s="58">
        <v>0.87</v>
      </c>
      <c r="AH13" s="59">
        <v>2.7</v>
      </c>
      <c r="AI13" s="58">
        <v>1.81</v>
      </c>
      <c r="AJ13" s="59">
        <v>4</v>
      </c>
      <c r="AK13" s="58">
        <v>2.35</v>
      </c>
      <c r="AL13" s="59" t="s">
        <v>156</v>
      </c>
      <c r="AM13" s="60"/>
      <c r="AN13" s="60"/>
    </row>
    <row r="14" spans="2:40" s="2" customFormat="1" ht="30" customHeight="1" x14ac:dyDescent="0.2">
      <c r="O14" s="6"/>
      <c r="P14" s="6"/>
      <c r="Q14" s="6"/>
      <c r="R14" s="6"/>
      <c r="S14" s="6"/>
      <c r="T14" s="6"/>
      <c r="U14" s="6"/>
      <c r="V14" s="6"/>
      <c r="W14" s="6"/>
      <c r="X14" s="6"/>
      <c r="Y14" s="6"/>
      <c r="Z14" s="18"/>
      <c r="AA14" s="20"/>
      <c r="AB14" s="20"/>
      <c r="AC14" s="19"/>
      <c r="AF14" s="58" t="s">
        <v>190</v>
      </c>
      <c r="AG14" s="58" t="s">
        <v>156</v>
      </c>
      <c r="AH14" s="98">
        <v>6.7</v>
      </c>
      <c r="AI14" s="58" t="s">
        <v>156</v>
      </c>
      <c r="AJ14" s="99" t="s">
        <v>156</v>
      </c>
      <c r="AK14" s="58" t="s">
        <v>156</v>
      </c>
      <c r="AL14" s="59" t="s">
        <v>156</v>
      </c>
    </row>
    <row r="15" spans="2:40" s="2" customFormat="1" ht="30" customHeight="1" thickBot="1" x14ac:dyDescent="0.25">
      <c r="B15" s="4" t="s">
        <v>95</v>
      </c>
    </row>
    <row r="16" spans="2:40" s="2" customFormat="1" ht="30" customHeight="1" thickBot="1" x14ac:dyDescent="0.25">
      <c r="B16" s="102"/>
      <c r="C16" s="103"/>
      <c r="D16" s="103"/>
      <c r="E16" s="103"/>
      <c r="F16" s="103"/>
      <c r="G16" s="103"/>
      <c r="H16" s="103"/>
      <c r="I16" s="104"/>
      <c r="J16" s="105" t="s">
        <v>96</v>
      </c>
      <c r="K16" s="106"/>
      <c r="L16" s="106"/>
      <c r="M16" s="106"/>
      <c r="N16" s="106"/>
      <c r="O16" s="106" t="s">
        <v>97</v>
      </c>
      <c r="P16" s="106"/>
      <c r="Q16" s="106"/>
      <c r="R16" s="106"/>
      <c r="S16" s="106"/>
      <c r="T16" s="107" t="s">
        <v>98</v>
      </c>
      <c r="U16" s="107"/>
      <c r="V16" s="107"/>
      <c r="W16" s="107"/>
      <c r="X16" s="108"/>
      <c r="Z16" s="63"/>
      <c r="AA16" s="157" t="s">
        <v>157</v>
      </c>
      <c r="AB16" s="110"/>
      <c r="AC16" s="158"/>
    </row>
    <row r="17" spans="2:38" s="2" customFormat="1" ht="30" customHeight="1" x14ac:dyDescent="0.2">
      <c r="B17" s="109" t="s">
        <v>191</v>
      </c>
      <c r="C17" s="110"/>
      <c r="D17" s="110"/>
      <c r="E17" s="110"/>
      <c r="F17" s="110"/>
      <c r="G17" s="110"/>
      <c r="H17" s="110"/>
      <c r="I17" s="110"/>
      <c r="J17" s="111">
        <f>J12</f>
        <v>0.31</v>
      </c>
      <c r="K17" s="112"/>
      <c r="L17" s="112"/>
      <c r="M17" s="113" t="s">
        <v>34</v>
      </c>
      <c r="N17" s="114"/>
      <c r="O17" s="115">
        <f>IF(AF17=1,AG17,IF(AF17=2,AI17,IF(AF17=3,AK17,"-")))</f>
        <v>0.46</v>
      </c>
      <c r="P17" s="112"/>
      <c r="Q17" s="112"/>
      <c r="R17" s="113" t="s">
        <v>34</v>
      </c>
      <c r="S17" s="114"/>
      <c r="T17" s="171" t="str">
        <f>IF(O17="-","",(IF(O17&gt;=J17,"適合","不適合")))</f>
        <v>適合</v>
      </c>
      <c r="U17" s="171"/>
      <c r="V17" s="171"/>
      <c r="W17" s="171"/>
      <c r="X17" s="172"/>
      <c r="Z17" s="64"/>
      <c r="AA17" s="159" t="s">
        <v>158</v>
      </c>
      <c r="AB17" s="160"/>
      <c r="AC17" s="161"/>
      <c r="AF17" s="76">
        <v>1</v>
      </c>
      <c r="AG17" s="61">
        <f>VLOOKUP(AA7,$AF$7:$AL$14,2,FALSE)</f>
        <v>0.46</v>
      </c>
      <c r="AH17" s="62" t="str">
        <f>VLOOKUP(AA7,$AF$7:$AL$14,3,FALSE)</f>
        <v>-</v>
      </c>
      <c r="AI17" s="61">
        <f>VLOOKUP(AA7,$AF$7:$AL$14,4,FALSE)</f>
        <v>0.54</v>
      </c>
      <c r="AJ17" s="62" t="str">
        <f>VLOOKUP(AA7,$AF$7:$AL$14,5,FALSE)</f>
        <v>-</v>
      </c>
      <c r="AK17" s="61">
        <f>VLOOKUP(AA7,$AF$7:$AL$14,6,FALSE)</f>
        <v>0.72</v>
      </c>
      <c r="AL17" s="61" t="str">
        <f>VLOOKUP(AA7,$AF$7:$AL$14,7,FALSE)</f>
        <v>-</v>
      </c>
    </row>
    <row r="18" spans="2:38" s="2" customFormat="1" ht="30" customHeight="1" thickBot="1" x14ac:dyDescent="0.25">
      <c r="B18" s="118" t="s">
        <v>179</v>
      </c>
      <c r="C18" s="119"/>
      <c r="D18" s="119"/>
      <c r="E18" s="119"/>
      <c r="F18" s="119"/>
      <c r="G18" s="119"/>
      <c r="H18" s="119"/>
      <c r="I18" s="119"/>
      <c r="J18" s="120">
        <f>X11</f>
        <v>1.5</v>
      </c>
      <c r="K18" s="121"/>
      <c r="L18" s="121"/>
      <c r="M18" s="122"/>
      <c r="N18" s="123"/>
      <c r="O18" s="124" t="str">
        <f>IF(AF17=1,AH17,IF(AF17=2,AJ17,IF(AF17=3,AL17,"-")))</f>
        <v>-</v>
      </c>
      <c r="P18" s="125"/>
      <c r="Q18" s="125"/>
      <c r="R18" s="122"/>
      <c r="S18" s="123"/>
      <c r="T18" s="169" t="str">
        <f>IF(O18="-","",(IF(O18&gt;=J18,"適合","不適合")))</f>
        <v/>
      </c>
      <c r="U18" s="169"/>
      <c r="V18" s="169"/>
      <c r="W18" s="169"/>
      <c r="X18" s="170"/>
      <c r="Z18" s="65"/>
      <c r="AA18" s="162" t="s">
        <v>159</v>
      </c>
      <c r="AB18" s="163"/>
      <c r="AC18" s="164"/>
    </row>
    <row r="19" spans="2:38" s="2" customFormat="1" ht="30" customHeight="1" x14ac:dyDescent="0.2">
      <c r="AF19" s="156" t="s">
        <v>173</v>
      </c>
      <c r="AG19" s="80" t="s">
        <v>182</v>
      </c>
      <c r="AH19" s="77">
        <f>'Ａ（北）'!W44+'Ａ（北東）'!W44+'Ａ（東）'!W44+'Ａ（南東）'!W44+'Ａ（南）'!W44+'Ａ（南西）'!W44+'Ａ（西）'!W44+'Ａ（北西）'!W44+'Ｂ（屋根・床等）'!W33+'Ｃ（基礎）'!L35</f>
        <v>104.54449456458894</v>
      </c>
    </row>
    <row r="20" spans="2:38" s="2" customFormat="1" ht="30" customHeight="1" x14ac:dyDescent="0.2">
      <c r="AF20" s="156"/>
      <c r="AG20" s="79" t="s">
        <v>171</v>
      </c>
      <c r="AH20" s="77">
        <f>'Ａ（北）'!W42+'Ａ（北東）'!W42+'Ａ（東）'!W42+'Ａ（南東）'!W42+'Ａ（南）'!W42+'Ａ（南西）'!W42+'Ａ（西）'!W42+'Ａ（北西）'!W42+'Ｂ（屋根・床等）'!W31</f>
        <v>4.9667957912061391</v>
      </c>
    </row>
    <row r="21" spans="2:38" s="2" customFormat="1" ht="30" customHeight="1" x14ac:dyDescent="0.2">
      <c r="C21" s="6"/>
      <c r="D21" s="6"/>
      <c r="E21" s="6"/>
      <c r="F21" s="6"/>
      <c r="G21" s="6"/>
      <c r="H21" s="6"/>
      <c r="I21" s="6"/>
      <c r="J21" s="6"/>
      <c r="K21" s="6"/>
      <c r="L21" s="6"/>
      <c r="M21" s="6"/>
      <c r="N21" s="6"/>
      <c r="O21" s="6"/>
      <c r="P21" s="6"/>
      <c r="Q21" s="6"/>
      <c r="R21" s="6"/>
      <c r="S21" s="6"/>
      <c r="T21" s="6"/>
      <c r="U21" s="6"/>
      <c r="V21" s="6"/>
      <c r="W21" s="6"/>
      <c r="X21" s="6"/>
      <c r="Y21" s="6"/>
      <c r="Z21" s="6"/>
      <c r="AA21" s="6"/>
      <c r="AB21" s="6"/>
      <c r="AF21" s="156"/>
      <c r="AG21" s="79" t="s">
        <v>172</v>
      </c>
      <c r="AH21" s="77">
        <f>'Ａ（北）'!W43+'Ａ（北東）'!W43+'Ａ（東）'!W43+'Ａ（南東）'!W43+'Ａ（南）'!W43+'Ａ（南西）'!W43+'Ａ（西）'!W43+'Ａ（北西）'!W43+'Ｂ（屋根・床等）'!W32</f>
        <v>4.3508049708756387</v>
      </c>
    </row>
    <row r="22" spans="2:38" s="2" customFormat="1" ht="30" customHeight="1" x14ac:dyDescent="0.2">
      <c r="C22" s="5"/>
      <c r="D22" s="5"/>
      <c r="E22" s="5"/>
      <c r="F22" s="5"/>
      <c r="G22" s="5"/>
      <c r="H22" s="5"/>
      <c r="I22" s="5"/>
      <c r="J22" s="5"/>
      <c r="K22" s="5"/>
      <c r="L22" s="5"/>
      <c r="M22" s="5"/>
      <c r="N22" s="5"/>
      <c r="O22" s="5"/>
      <c r="P22" s="5"/>
      <c r="Q22" s="5"/>
      <c r="R22" s="5"/>
      <c r="S22" s="5"/>
      <c r="T22" s="5"/>
      <c r="U22" s="5"/>
      <c r="V22" s="5"/>
      <c r="W22" s="5"/>
      <c r="X22" s="5"/>
      <c r="Y22" s="5"/>
      <c r="Z22" s="5"/>
      <c r="AA22" s="5"/>
      <c r="AB22" s="5"/>
      <c r="AG22"/>
    </row>
    <row r="23" spans="2:38" s="2" customFormat="1" ht="30" customHeight="1" x14ac:dyDescent="0.2">
      <c r="C23" s="7" t="s">
        <v>224</v>
      </c>
      <c r="D23" s="6"/>
      <c r="E23" s="6"/>
      <c r="F23" s="6"/>
      <c r="G23" s="6"/>
      <c r="H23" s="6"/>
      <c r="I23" s="6"/>
      <c r="J23" s="6"/>
      <c r="K23" s="6"/>
      <c r="L23" s="6"/>
      <c r="M23" s="6"/>
      <c r="N23" s="6"/>
      <c r="O23" s="6"/>
      <c r="P23" s="6"/>
      <c r="Q23" s="6"/>
      <c r="R23" s="6"/>
      <c r="S23" s="6"/>
      <c r="T23" s="6"/>
      <c r="U23" s="6"/>
      <c r="V23" s="6"/>
      <c r="W23" s="6"/>
      <c r="X23" s="6"/>
      <c r="Y23" s="6"/>
      <c r="Z23" s="6"/>
      <c r="AA23" s="6"/>
      <c r="AB23" s="15"/>
      <c r="AG23"/>
    </row>
    <row r="24" spans="2:38" s="2" customFormat="1" ht="30" customHeight="1" x14ac:dyDescent="0.2">
      <c r="C24" s="7" t="s">
        <v>225</v>
      </c>
      <c r="D24" s="6"/>
      <c r="E24" s="6"/>
      <c r="F24" s="6"/>
      <c r="G24" s="6"/>
      <c r="H24" s="6"/>
      <c r="I24" s="6"/>
      <c r="J24" s="6"/>
      <c r="K24" s="6"/>
      <c r="L24" s="6"/>
      <c r="M24" s="6"/>
      <c r="N24" s="6"/>
      <c r="O24" s="6"/>
      <c r="P24" s="6"/>
      <c r="Q24" s="6"/>
      <c r="R24" s="6"/>
      <c r="S24" s="6"/>
      <c r="T24" s="6"/>
      <c r="U24" s="6"/>
      <c r="V24" s="6"/>
      <c r="W24" s="6"/>
      <c r="X24" s="6"/>
      <c r="Y24" s="6"/>
      <c r="Z24" s="6"/>
      <c r="AA24" s="6"/>
      <c r="AB24" s="15"/>
      <c r="AG24"/>
    </row>
    <row r="25" spans="2:38" s="2" customFormat="1" ht="30" customHeight="1" x14ac:dyDescent="0.2">
      <c r="C25" s="7" t="s">
        <v>226</v>
      </c>
      <c r="D25" s="6"/>
      <c r="E25" s="6"/>
      <c r="F25" s="6"/>
      <c r="G25" s="116" t="s">
        <v>83</v>
      </c>
      <c r="H25" s="117"/>
      <c r="I25" s="7" t="s">
        <v>82</v>
      </c>
      <c r="K25" s="6"/>
      <c r="L25" s="6"/>
      <c r="M25" s="6"/>
      <c r="N25" s="6"/>
      <c r="O25" s="6"/>
      <c r="P25" s="6"/>
      <c r="Q25" s="6"/>
      <c r="R25" s="6"/>
      <c r="S25" s="6"/>
      <c r="T25" s="6"/>
      <c r="U25" s="6"/>
      <c r="V25" s="6"/>
      <c r="W25" s="6"/>
      <c r="X25" s="6"/>
      <c r="Y25" s="6"/>
      <c r="Z25" s="6"/>
      <c r="AA25" s="6"/>
      <c r="AB25" s="15"/>
      <c r="AG25"/>
    </row>
    <row r="26" spans="2:38" s="2" customFormat="1" ht="30" customHeight="1" x14ac:dyDescent="0.2">
      <c r="C26" s="7" t="s">
        <v>227</v>
      </c>
      <c r="D26" s="6"/>
      <c r="E26" s="6"/>
      <c r="F26" s="6"/>
      <c r="G26" s="34"/>
      <c r="H26" s="34"/>
      <c r="I26" s="6"/>
      <c r="K26" s="6"/>
      <c r="L26" s="6"/>
      <c r="M26" s="6"/>
      <c r="N26" s="6"/>
      <c r="O26" s="6"/>
      <c r="P26" s="6"/>
      <c r="Q26" s="6"/>
      <c r="R26" s="6"/>
      <c r="S26" s="6"/>
      <c r="T26" s="6"/>
      <c r="U26" s="6"/>
      <c r="V26" s="6"/>
      <c r="W26" s="6"/>
      <c r="X26" s="6"/>
      <c r="Y26" s="6"/>
      <c r="Z26" s="6"/>
      <c r="AA26" s="6"/>
      <c r="AB26" s="15"/>
      <c r="AG26"/>
    </row>
    <row r="27" spans="2:38" s="2" customFormat="1" ht="30" customHeight="1" x14ac:dyDescent="0.2">
      <c r="C27" s="7" t="s">
        <v>228</v>
      </c>
      <c r="D27" s="6"/>
      <c r="E27" s="6"/>
      <c r="F27" s="6"/>
      <c r="G27" s="6"/>
      <c r="H27" s="6"/>
      <c r="I27" s="6"/>
      <c r="J27" s="6"/>
      <c r="K27" s="6"/>
      <c r="L27" s="6"/>
      <c r="M27" s="6"/>
      <c r="N27" s="6"/>
      <c r="O27" s="6"/>
      <c r="P27" s="6"/>
      <c r="Q27" s="6"/>
      <c r="R27" s="6"/>
      <c r="S27" s="6"/>
      <c r="T27" s="6"/>
      <c r="U27" s="6"/>
      <c r="V27" s="6"/>
      <c r="W27" s="6"/>
      <c r="X27" s="6"/>
      <c r="Y27" s="6"/>
      <c r="Z27" s="6"/>
      <c r="AA27" s="6"/>
      <c r="AB27" s="15"/>
      <c r="AG27"/>
    </row>
    <row r="28" spans="2:38" s="2" customFormat="1" ht="30" customHeight="1" x14ac:dyDescent="0.2">
      <c r="C28" s="16" t="s">
        <v>192</v>
      </c>
      <c r="D28" s="5"/>
      <c r="E28" s="5"/>
      <c r="F28" s="5"/>
      <c r="G28" s="5"/>
      <c r="H28" s="5"/>
      <c r="I28" s="5"/>
      <c r="J28" s="5"/>
      <c r="K28" s="5"/>
      <c r="L28" s="5"/>
      <c r="M28" s="5"/>
      <c r="N28" s="5"/>
      <c r="O28" s="5"/>
      <c r="P28" s="5"/>
      <c r="Q28" s="5"/>
      <c r="R28" s="5"/>
      <c r="S28" s="5"/>
      <c r="T28" s="5"/>
      <c r="U28" s="5"/>
      <c r="V28" s="5"/>
      <c r="W28" s="5"/>
      <c r="X28" s="5"/>
      <c r="Y28" s="5"/>
      <c r="Z28" s="5"/>
      <c r="AA28" s="5"/>
      <c r="AB28" s="17"/>
      <c r="AG28"/>
    </row>
    <row r="29" spans="2:38" s="2" customFormat="1" ht="30" customHeight="1" x14ac:dyDescent="0.2"/>
    <row r="30" spans="2:38" s="2" customFormat="1" ht="30" customHeight="1" x14ac:dyDescent="0.2"/>
    <row r="31" spans="2:38" s="2" customFormat="1" ht="30" customHeight="1" x14ac:dyDescent="0.2"/>
    <row r="32" spans="2:38" s="2" customFormat="1" ht="20.100000000000001" customHeight="1" x14ac:dyDescent="0.2"/>
    <row r="33" s="2" customFormat="1" ht="20.100000000000001" customHeight="1" x14ac:dyDescent="0.2"/>
    <row r="34" s="2" customFormat="1" ht="20.100000000000001" customHeight="1" x14ac:dyDescent="0.2"/>
    <row r="35" s="2" customFormat="1" ht="20.100000000000001" customHeight="1" x14ac:dyDescent="0.2"/>
    <row r="36" s="2" customFormat="1" ht="20.100000000000001" customHeight="1" x14ac:dyDescent="0.2"/>
    <row r="37" s="2" customFormat="1" ht="20.100000000000001" customHeight="1" x14ac:dyDescent="0.2"/>
    <row r="38" s="2" customFormat="1" ht="20.100000000000001" customHeight="1" x14ac:dyDescent="0.2"/>
    <row r="39" s="2" customFormat="1" ht="20.100000000000001" customHeight="1" x14ac:dyDescent="0.2"/>
    <row r="40" s="2" customFormat="1" ht="20.100000000000001" customHeight="1" x14ac:dyDescent="0.2"/>
    <row r="41" s="2" customFormat="1" ht="20.100000000000001" customHeight="1" x14ac:dyDescent="0.2"/>
    <row r="42" s="2" customFormat="1" ht="20.100000000000001" customHeight="1" x14ac:dyDescent="0.2"/>
    <row r="43" s="2" customFormat="1" ht="20.100000000000001" customHeight="1" x14ac:dyDescent="0.2"/>
    <row r="44" s="2" customFormat="1" ht="20.100000000000001" customHeight="1" x14ac:dyDescent="0.2"/>
    <row r="45" s="2" customFormat="1" ht="20.100000000000001" customHeight="1" x14ac:dyDescent="0.2"/>
    <row r="46" s="2" customFormat="1" ht="20.100000000000001" customHeight="1" x14ac:dyDescent="0.2"/>
    <row r="47" s="2" customFormat="1" ht="20.100000000000001" customHeight="1" x14ac:dyDescent="0.2"/>
    <row r="48" s="2" customFormat="1" ht="20.100000000000001" customHeight="1" x14ac:dyDescent="0.2"/>
    <row r="49" s="2" customFormat="1" ht="20.100000000000001" customHeight="1" x14ac:dyDescent="0.2"/>
    <row r="50" s="2" customFormat="1" ht="20.100000000000001" customHeight="1" x14ac:dyDescent="0.2"/>
    <row r="51" s="2" customFormat="1" ht="20.100000000000001" customHeight="1" x14ac:dyDescent="0.2"/>
    <row r="52" s="2" customFormat="1" ht="20.100000000000001" customHeight="1" x14ac:dyDescent="0.2"/>
    <row r="53" s="2" customFormat="1" ht="20.100000000000001" customHeight="1" x14ac:dyDescent="0.2"/>
    <row r="54" s="2" customFormat="1" ht="20.100000000000001" customHeight="1" x14ac:dyDescent="0.2"/>
    <row r="55" s="2" customFormat="1" ht="20.100000000000001" customHeight="1" x14ac:dyDescent="0.2"/>
    <row r="56" s="2" customFormat="1" ht="20.100000000000001" customHeight="1" x14ac:dyDescent="0.2"/>
    <row r="57" s="2" customFormat="1" ht="20.100000000000001" customHeight="1" x14ac:dyDescent="0.2"/>
    <row r="58" s="2" customFormat="1" ht="20.100000000000001" customHeight="1" x14ac:dyDescent="0.2"/>
    <row r="59" s="2" customFormat="1" ht="20.100000000000001" customHeight="1" x14ac:dyDescent="0.2"/>
    <row r="60" s="2" customFormat="1" ht="20.100000000000001" customHeight="1" x14ac:dyDescent="0.2"/>
    <row r="61" s="2" customFormat="1" ht="20.100000000000001" customHeight="1" x14ac:dyDescent="0.2"/>
    <row r="62" s="2" customFormat="1" ht="20.100000000000001" customHeight="1" x14ac:dyDescent="0.2"/>
    <row r="63" s="2" customFormat="1" ht="20.100000000000001" customHeight="1" x14ac:dyDescent="0.2"/>
    <row r="64" s="2" customFormat="1" ht="20.100000000000001" customHeight="1" x14ac:dyDescent="0.2"/>
    <row r="65" s="2" customFormat="1" ht="20.100000000000001" customHeight="1" x14ac:dyDescent="0.2"/>
    <row r="66" s="2" customFormat="1" ht="20.100000000000001" customHeight="1" x14ac:dyDescent="0.2"/>
    <row r="67" s="2" customFormat="1" ht="20.100000000000001" customHeight="1" x14ac:dyDescent="0.2"/>
    <row r="68" s="2" customFormat="1" ht="20.100000000000001" customHeight="1" x14ac:dyDescent="0.2"/>
    <row r="69" s="2" customFormat="1" ht="20.100000000000001" customHeight="1" x14ac:dyDescent="0.2"/>
    <row r="70" s="2" customFormat="1" ht="20.100000000000001" customHeight="1" x14ac:dyDescent="0.2"/>
    <row r="71" s="2" customFormat="1" ht="20.100000000000001" customHeight="1" x14ac:dyDescent="0.2"/>
    <row r="72" s="2" customFormat="1" ht="20.100000000000001" customHeight="1" x14ac:dyDescent="0.2"/>
    <row r="73" s="2" customFormat="1" ht="20.100000000000001" customHeight="1" x14ac:dyDescent="0.2"/>
    <row r="74" s="2" customFormat="1" ht="20.100000000000001" customHeight="1" x14ac:dyDescent="0.2"/>
    <row r="75" s="2" customFormat="1" ht="20.100000000000001" customHeight="1" x14ac:dyDescent="0.2"/>
    <row r="76" s="2" customFormat="1" ht="20.100000000000001" customHeight="1" x14ac:dyDescent="0.2"/>
    <row r="77" s="2" customFormat="1" ht="20.100000000000001" customHeight="1" x14ac:dyDescent="0.2"/>
    <row r="78" s="2" customFormat="1" ht="20.100000000000001" customHeight="1" x14ac:dyDescent="0.2"/>
    <row r="79" s="2" customFormat="1" ht="20.100000000000001" customHeight="1" x14ac:dyDescent="0.2"/>
    <row r="80" s="2" customFormat="1" ht="20.100000000000001" customHeight="1" x14ac:dyDescent="0.2"/>
    <row r="81" s="2" customFormat="1" ht="20.100000000000001" customHeight="1" x14ac:dyDescent="0.2"/>
    <row r="82" s="2" customFormat="1" ht="20.100000000000001" customHeight="1" x14ac:dyDescent="0.2"/>
    <row r="83" s="2" customFormat="1" ht="20.100000000000001" customHeight="1" x14ac:dyDescent="0.2"/>
    <row r="84" s="2" customFormat="1" ht="20.100000000000001" customHeight="1" x14ac:dyDescent="0.2"/>
    <row r="85" s="2" customFormat="1" ht="20.100000000000001" customHeight="1" x14ac:dyDescent="0.2"/>
    <row r="86" s="2" customFormat="1" ht="20.100000000000001" customHeight="1" x14ac:dyDescent="0.2"/>
    <row r="87" s="2" customFormat="1" ht="20.100000000000001" customHeight="1" x14ac:dyDescent="0.2"/>
    <row r="88" s="2" customFormat="1" ht="20.100000000000001" customHeight="1" x14ac:dyDescent="0.2"/>
    <row r="89" s="2" customFormat="1" ht="20.100000000000001" customHeight="1" x14ac:dyDescent="0.2"/>
    <row r="90" s="2" customFormat="1" ht="20.100000000000001" customHeight="1" x14ac:dyDescent="0.2"/>
    <row r="91" s="2" customFormat="1" ht="20.100000000000001" customHeight="1" x14ac:dyDescent="0.2"/>
    <row r="92" s="2" customFormat="1" ht="20.100000000000001" customHeight="1" x14ac:dyDescent="0.2"/>
    <row r="93" s="2" customFormat="1" ht="20.100000000000001" customHeight="1" x14ac:dyDescent="0.2"/>
    <row r="94" s="2" customFormat="1" ht="20.100000000000001" customHeight="1" x14ac:dyDescent="0.2"/>
    <row r="95" s="2" customFormat="1" ht="20.100000000000001" customHeight="1" x14ac:dyDescent="0.2"/>
    <row r="96" s="2" customFormat="1" ht="20.100000000000001" customHeight="1" x14ac:dyDescent="0.2"/>
    <row r="97" s="2" customFormat="1" ht="20.100000000000001" customHeight="1" x14ac:dyDescent="0.2"/>
    <row r="98" s="2" customFormat="1" ht="20.100000000000001" customHeight="1" x14ac:dyDescent="0.2"/>
    <row r="99" s="2" customFormat="1" ht="20.100000000000001" customHeight="1" x14ac:dyDescent="0.2"/>
    <row r="100" s="2" customFormat="1" ht="20.100000000000001" customHeight="1" x14ac:dyDescent="0.2"/>
    <row r="101" s="2" customFormat="1" ht="20.100000000000001" customHeight="1" x14ac:dyDescent="0.2"/>
    <row r="102" s="2" customFormat="1" ht="20.100000000000001" customHeight="1" x14ac:dyDescent="0.2"/>
    <row r="103" s="2" customFormat="1" ht="20.100000000000001" customHeight="1" x14ac:dyDescent="0.2"/>
    <row r="104" s="2" customFormat="1" ht="20.100000000000001" customHeight="1" x14ac:dyDescent="0.2"/>
    <row r="105" s="2" customFormat="1" ht="20.100000000000001" customHeight="1" x14ac:dyDescent="0.2"/>
    <row r="106" s="2" customFormat="1" ht="20.100000000000001" customHeight="1" x14ac:dyDescent="0.2"/>
    <row r="107" s="2" customFormat="1" ht="20.100000000000001" customHeight="1" x14ac:dyDescent="0.2"/>
    <row r="108" s="2" customFormat="1" ht="20.100000000000001" customHeight="1" x14ac:dyDescent="0.2"/>
    <row r="109" s="2" customFormat="1" ht="20.100000000000001" customHeight="1" x14ac:dyDescent="0.2"/>
    <row r="110" s="2" customFormat="1" ht="20.100000000000001" customHeight="1" x14ac:dyDescent="0.2"/>
    <row r="111" s="2" customFormat="1" ht="20.100000000000001" customHeight="1" x14ac:dyDescent="0.2"/>
    <row r="112" s="2" customFormat="1" ht="20.100000000000001" customHeight="1" x14ac:dyDescent="0.2"/>
    <row r="113" s="2" customFormat="1" ht="20.100000000000001" customHeight="1" x14ac:dyDescent="0.2"/>
    <row r="114" s="2" customFormat="1" ht="20.100000000000001" customHeight="1" x14ac:dyDescent="0.2"/>
    <row r="115" s="2" customFormat="1" ht="20.100000000000001" customHeight="1" x14ac:dyDescent="0.2"/>
    <row r="116" s="2" customFormat="1" ht="20.100000000000001" customHeight="1" x14ac:dyDescent="0.2"/>
    <row r="117" s="2" customFormat="1" ht="20.100000000000001" customHeight="1" x14ac:dyDescent="0.2"/>
    <row r="118" s="2" customFormat="1" ht="20.100000000000001" customHeight="1" x14ac:dyDescent="0.2"/>
    <row r="119" s="2" customFormat="1" ht="20.100000000000001" customHeight="1" x14ac:dyDescent="0.2"/>
    <row r="120" s="2" customFormat="1" ht="20.100000000000001" customHeight="1" x14ac:dyDescent="0.2"/>
    <row r="121" s="2" customFormat="1" ht="20.100000000000001" customHeight="1" x14ac:dyDescent="0.2"/>
    <row r="122" s="2" customFormat="1" ht="20.100000000000001" customHeight="1" x14ac:dyDescent="0.2"/>
    <row r="123" s="2" customFormat="1" ht="20.100000000000001" customHeight="1" x14ac:dyDescent="0.2"/>
    <row r="124" s="2" customFormat="1" ht="20.100000000000001" customHeight="1" x14ac:dyDescent="0.2"/>
    <row r="125" s="2" customFormat="1" ht="20.100000000000001" customHeight="1" x14ac:dyDescent="0.2"/>
    <row r="126" s="2" customFormat="1" ht="20.100000000000001" customHeight="1" x14ac:dyDescent="0.2"/>
    <row r="127" s="2" customFormat="1" ht="20.100000000000001" customHeight="1" x14ac:dyDescent="0.2"/>
    <row r="128" s="2" customFormat="1" ht="20.100000000000001" customHeight="1" x14ac:dyDescent="0.2"/>
    <row r="129" s="2" customFormat="1" ht="20.100000000000001" customHeight="1" x14ac:dyDescent="0.2"/>
    <row r="130" s="2" customFormat="1" ht="20.100000000000001" customHeight="1" x14ac:dyDescent="0.2"/>
    <row r="131" s="2" customFormat="1" ht="20.100000000000001" customHeight="1" x14ac:dyDescent="0.2"/>
    <row r="132" s="2" customFormat="1" ht="20.100000000000001" customHeight="1" x14ac:dyDescent="0.2"/>
    <row r="133" s="2" customFormat="1" ht="20.100000000000001" customHeight="1" x14ac:dyDescent="0.2"/>
    <row r="134" s="2" customFormat="1" ht="20.100000000000001" customHeight="1" x14ac:dyDescent="0.2"/>
    <row r="135" s="2" customFormat="1" ht="20.100000000000001" customHeight="1" x14ac:dyDescent="0.2"/>
    <row r="136" s="2" customFormat="1" ht="20.100000000000001" customHeight="1" x14ac:dyDescent="0.2"/>
    <row r="137" s="2" customFormat="1" ht="20.100000000000001" customHeight="1" x14ac:dyDescent="0.2"/>
    <row r="138" s="2" customFormat="1" ht="20.100000000000001" customHeight="1" x14ac:dyDescent="0.2"/>
    <row r="139" s="2" customFormat="1" ht="20.100000000000001" customHeight="1" x14ac:dyDescent="0.2"/>
    <row r="140" s="2" customFormat="1" ht="20.100000000000001" customHeight="1" x14ac:dyDescent="0.2"/>
    <row r="141" s="2" customFormat="1" ht="20.100000000000001" customHeight="1" x14ac:dyDescent="0.2"/>
    <row r="142" s="3" customFormat="1" ht="20.100000000000001" customHeight="1" x14ac:dyDescent="0.15"/>
    <row r="143" s="3" customFormat="1" ht="20.100000000000001" customHeight="1" x14ac:dyDescent="0.15"/>
    <row r="144" ht="20.100000000000001" customHeight="1" x14ac:dyDescent="0.2"/>
    <row r="145" ht="20.100000000000001" customHeight="1" x14ac:dyDescent="0.2"/>
    <row r="146" ht="20.100000000000001" customHeight="1" x14ac:dyDescent="0.2"/>
    <row r="147" ht="20.100000000000001" customHeight="1" x14ac:dyDescent="0.2"/>
  </sheetData>
  <sheetProtection algorithmName="SHA-512" hashValue="CnwvO1rtUwwRoHxYnqBbPBY2BibzRKmwvJSdJqRPkLo/zkGSFEEHybI20swpnBnN+CoI5pAtNx9V+RQNfPz8Qw==" saltValue="nyQXOMZ7A/9plceFuutn7g==" spinCount="100000" sheet="1" selectLockedCells="1"/>
  <mergeCells count="49">
    <mergeCell ref="AF19:AF21"/>
    <mergeCell ref="AA16:AC16"/>
    <mergeCell ref="AA17:AC17"/>
    <mergeCell ref="AA18:AC18"/>
    <mergeCell ref="AG5:AH5"/>
    <mergeCell ref="AA7:AC7"/>
    <mergeCell ref="AB12:AC12"/>
    <mergeCell ref="X12:AA12"/>
    <mergeCell ref="T18:X18"/>
    <mergeCell ref="T17:X17"/>
    <mergeCell ref="O12:W12"/>
    <mergeCell ref="R18:S18"/>
    <mergeCell ref="X11:AA11"/>
    <mergeCell ref="O11:W11"/>
    <mergeCell ref="B8:I8"/>
    <mergeCell ref="AG4:AL4"/>
    <mergeCell ref="AI5:AJ5"/>
    <mergeCell ref="AK5:AL5"/>
    <mergeCell ref="B2:AC2"/>
    <mergeCell ref="B3:AC3"/>
    <mergeCell ref="B7:I7"/>
    <mergeCell ref="K7:W7"/>
    <mergeCell ref="X7:Z7"/>
    <mergeCell ref="B6:I6"/>
    <mergeCell ref="K6:AC6"/>
    <mergeCell ref="M8:N8"/>
    <mergeCell ref="O8:P8"/>
    <mergeCell ref="R8:S8"/>
    <mergeCell ref="T8:U8"/>
    <mergeCell ref="B11:I11"/>
    <mergeCell ref="J11:L11"/>
    <mergeCell ref="M11:N11"/>
    <mergeCell ref="B12:I12"/>
    <mergeCell ref="J12:L12"/>
    <mergeCell ref="M12:N12"/>
    <mergeCell ref="G25:H25"/>
    <mergeCell ref="B18:I18"/>
    <mergeCell ref="J18:L18"/>
    <mergeCell ref="M18:N18"/>
    <mergeCell ref="O18:Q18"/>
    <mergeCell ref="B16:I16"/>
    <mergeCell ref="J16:N16"/>
    <mergeCell ref="O16:S16"/>
    <mergeCell ref="T16:X16"/>
    <mergeCell ref="B17:I17"/>
    <mergeCell ref="J17:L17"/>
    <mergeCell ref="M17:N17"/>
    <mergeCell ref="O17:Q17"/>
    <mergeCell ref="R17:S17"/>
  </mergeCells>
  <phoneticPr fontId="2"/>
  <dataValidations count="1">
    <dataValidation type="list" allowBlank="1" showInputMessage="1" showErrorMessage="1" sqref="AA7:AC7">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14" r:id="rId4" name="Option Button 6">
              <controlPr defaultSize="0" autoFill="0" autoLine="0" autoPict="0">
                <anchor moveWithCells="1">
                  <from>
                    <xdr:col>25</xdr:col>
                    <xdr:colOff>30480</xdr:colOff>
                    <xdr:row>15</xdr:row>
                    <xdr:rowOff>83820</xdr:rowOff>
                  </from>
                  <to>
                    <xdr:col>26</xdr:col>
                    <xdr:colOff>60960</xdr:colOff>
                    <xdr:row>15</xdr:row>
                    <xdr:rowOff>297180</xdr:rowOff>
                  </to>
                </anchor>
              </controlPr>
            </control>
          </mc:Choice>
        </mc:AlternateContent>
        <mc:AlternateContent xmlns:mc="http://schemas.openxmlformats.org/markup-compatibility/2006">
          <mc:Choice Requires="x14">
            <control shapeId="94215" r:id="rId5" name="Option Button 7">
              <controlPr defaultSize="0" autoFill="0" autoLine="0" autoPict="0">
                <anchor moveWithCells="1">
                  <from>
                    <xdr:col>25</xdr:col>
                    <xdr:colOff>30480</xdr:colOff>
                    <xdr:row>16</xdr:row>
                    <xdr:rowOff>83820</xdr:rowOff>
                  </from>
                  <to>
                    <xdr:col>26</xdr:col>
                    <xdr:colOff>60960</xdr:colOff>
                    <xdr:row>16</xdr:row>
                    <xdr:rowOff>297180</xdr:rowOff>
                  </to>
                </anchor>
              </controlPr>
            </control>
          </mc:Choice>
        </mc:AlternateContent>
        <mc:AlternateContent xmlns:mc="http://schemas.openxmlformats.org/markup-compatibility/2006">
          <mc:Choice Requires="x14">
            <control shapeId="94216" r:id="rId6" name="Option Button 8">
              <controlPr defaultSize="0" autoFill="0" autoLine="0" autoPict="0">
                <anchor moveWithCells="1">
                  <from>
                    <xdr:col>25</xdr:col>
                    <xdr:colOff>30480</xdr:colOff>
                    <xdr:row>17</xdr:row>
                    <xdr:rowOff>83820</xdr:rowOff>
                  </from>
                  <to>
                    <xdr:col>26</xdr:col>
                    <xdr:colOff>60960</xdr:colOff>
                    <xdr:row>17</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O106"/>
  <sheetViews>
    <sheetView showGridLines="0" view="pageBreakPreview" topLeftCell="A18"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76</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22">
        <f>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0.34100000000000003</v>
      </c>
      <c r="W4" s="323"/>
      <c r="X4" s="324">
        <f>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0.26300000000000001</v>
      </c>
      <c r="Y4" s="325"/>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t="s">
        <v>240</v>
      </c>
      <c r="C8" s="304"/>
      <c r="D8" s="278">
        <v>0.78</v>
      </c>
      <c r="E8" s="220"/>
      <c r="F8" s="220">
        <v>0.56999999999999995</v>
      </c>
      <c r="G8" s="221"/>
      <c r="H8" s="222">
        <v>1.6</v>
      </c>
      <c r="I8" s="222"/>
      <c r="J8" s="222">
        <v>0.39</v>
      </c>
      <c r="K8" s="222"/>
      <c r="L8" s="296"/>
      <c r="M8" s="296"/>
      <c r="N8" s="305"/>
      <c r="O8" s="306"/>
      <c r="P8" s="313"/>
      <c r="Q8" s="314"/>
      <c r="R8" s="315"/>
      <c r="S8" s="316"/>
      <c r="T8" s="317"/>
      <c r="U8" s="313"/>
      <c r="V8" s="301">
        <f>IF(D8="","",AD8)</f>
        <v>5.4988439220000004E-2</v>
      </c>
      <c r="W8" s="301"/>
      <c r="X8" s="301">
        <f t="shared" ref="X8:X19" si="0">IF(D8="","",IF(ISERROR(AE8),"-",AE8))</f>
        <v>2.325733722E-2</v>
      </c>
      <c r="Y8" s="301"/>
      <c r="Z8" s="301">
        <f>IF(D8="","",D8*F8*AN8)</f>
        <v>0.71135999999999999</v>
      </c>
      <c r="AA8" s="302"/>
      <c r="AD8" s="37">
        <f>D8*F8*J8*$V$4*AH8</f>
        <v>5.4988439220000004E-2</v>
      </c>
      <c r="AE8" s="37">
        <f>D8*F8*J8*$X$4*AI8</f>
        <v>2.325733722E-2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3" t="s">
        <v>241</v>
      </c>
      <c r="C9" s="297"/>
      <c r="D9" s="298">
        <v>0.78</v>
      </c>
      <c r="E9" s="299"/>
      <c r="F9" s="299">
        <v>0.56999999999999995</v>
      </c>
      <c r="G9" s="300"/>
      <c r="H9" s="213">
        <v>1.6</v>
      </c>
      <c r="I9" s="213"/>
      <c r="J9" s="213">
        <v>0.39</v>
      </c>
      <c r="K9" s="213"/>
      <c r="L9" s="235"/>
      <c r="M9" s="235"/>
      <c r="N9" s="281"/>
      <c r="O9" s="282"/>
      <c r="P9" s="280"/>
      <c r="Q9" s="283"/>
      <c r="R9" s="284"/>
      <c r="S9" s="285"/>
      <c r="T9" s="279"/>
      <c r="U9" s="280"/>
      <c r="V9" s="241">
        <f t="shared" ref="V9:V19" si="2">IF(D9="","",AD9)</f>
        <v>5.4988439220000004E-2</v>
      </c>
      <c r="W9" s="241"/>
      <c r="X9" s="241">
        <f t="shared" si="0"/>
        <v>2.325733722E-2</v>
      </c>
      <c r="Y9" s="241"/>
      <c r="Z9" s="241">
        <f t="shared" ref="Z9:Z19" si="3">IF(D9="","",D9*F9*AN9)</f>
        <v>0.71135999999999999</v>
      </c>
      <c r="AA9" s="242"/>
      <c r="AD9" s="37">
        <f t="shared" ref="AD9:AD19" si="4">D9*F9*J9*$V$4*AH9</f>
        <v>5.4988439220000004E-2</v>
      </c>
      <c r="AE9" s="37">
        <f t="shared" ref="AE9:AE19" si="5">D9*F9*J9*$X$4*AI9</f>
        <v>2.325733722E-2</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IF(共通条件・結果!$AA$7="８地域",H9,IF(AO9="FALSE",H9,IF(L9="風除室",1/((1/H9)+0.1),0.5*H9+0.5*(1/((1/H9)+AO9)))))</f>
        <v>1.6</v>
      </c>
      <c r="AO9" s="39" t="str">
        <f t="shared" si="1"/>
        <v>FALSE</v>
      </c>
    </row>
    <row r="10" spans="2:41" s="37" customFormat="1" ht="21.9" customHeight="1" x14ac:dyDescent="0.2">
      <c r="B10" s="183" t="s">
        <v>242</v>
      </c>
      <c r="C10" s="297"/>
      <c r="D10" s="298">
        <v>0.78</v>
      </c>
      <c r="E10" s="299"/>
      <c r="F10" s="299">
        <v>0.56999999999999995</v>
      </c>
      <c r="G10" s="300"/>
      <c r="H10" s="213">
        <v>1.6</v>
      </c>
      <c r="I10" s="213"/>
      <c r="J10" s="213">
        <v>0.39</v>
      </c>
      <c r="K10" s="213"/>
      <c r="L10" s="235"/>
      <c r="M10" s="235"/>
      <c r="N10" s="281"/>
      <c r="O10" s="282"/>
      <c r="P10" s="283"/>
      <c r="Q10" s="287"/>
      <c r="R10" s="286"/>
      <c r="S10" s="287"/>
      <c r="T10" s="286"/>
      <c r="U10" s="279"/>
      <c r="V10" s="241">
        <f>IF(D10="","",AD10)</f>
        <v>5.4988439220000004E-2</v>
      </c>
      <c r="W10" s="241"/>
      <c r="X10" s="241">
        <f t="shared" si="0"/>
        <v>2.325733722E-2</v>
      </c>
      <c r="Y10" s="241"/>
      <c r="Z10" s="241">
        <f>IF(D10="","",D10*F10*AN10)</f>
        <v>0.71135999999999999</v>
      </c>
      <c r="AA10" s="242"/>
      <c r="AD10" s="37">
        <f t="shared" ref="AD10:AD15" si="10">D10*F10*J10*$V$4*AH10</f>
        <v>5.4988439220000004E-2</v>
      </c>
      <c r="AE10" s="37">
        <f t="shared" ref="AE10:AE15" si="11">D10*F10*J10*$X$4*AI10</f>
        <v>2.325733722E-2</v>
      </c>
      <c r="AG10" s="40" t="b">
        <v>1</v>
      </c>
      <c r="AH10" s="37" t="str">
        <f t="shared" si="6"/>
        <v>0.93</v>
      </c>
      <c r="AI10" s="37" t="str">
        <f t="shared" si="7"/>
        <v>0.51</v>
      </c>
      <c r="AK10" s="37" t="e">
        <f t="shared" ref="AK10:AK15" si="12">0.01*(16+24*(2*R10+T10)/P10)</f>
        <v>#DIV/0!</v>
      </c>
      <c r="AL10" s="37" t="e">
        <f t="shared" ref="AL10:AL15" si="13">0.01*(10+15*(2*R10+T10)/P10)</f>
        <v>#DIV/0!</v>
      </c>
      <c r="AN10" s="37">
        <f>IF(共通条件・結果!$AA$7="８地域",H10,IF(AO10="FALSE",H10,IF(L10="風除室",1/((1/H10)+0.1),0.5*H10+0.5*(1/((1/H10)+AO10)))))</f>
        <v>1.6</v>
      </c>
      <c r="AO10" s="39" t="str">
        <f t="shared" ref="AO10:AO15" si="14">IF(L10="","FALSE",IF(L10="雨戸",0.1,IF(L10="ｼｬｯﾀｰ",0.1,IF(L10="障子",0.18,IF(L10="風除室",0.1)))))</f>
        <v>FALSE</v>
      </c>
    </row>
    <row r="11" spans="2:41" s="37" customFormat="1" ht="21.9" customHeight="1" x14ac:dyDescent="0.2">
      <c r="B11" s="183" t="s">
        <v>243</v>
      </c>
      <c r="C11" s="297"/>
      <c r="D11" s="298">
        <v>0.78</v>
      </c>
      <c r="E11" s="299"/>
      <c r="F11" s="299">
        <v>0.56999999999999995</v>
      </c>
      <c r="G11" s="300"/>
      <c r="H11" s="213">
        <v>1.6</v>
      </c>
      <c r="I11" s="213"/>
      <c r="J11" s="213">
        <v>0.39</v>
      </c>
      <c r="K11" s="213"/>
      <c r="L11" s="235"/>
      <c r="M11" s="235"/>
      <c r="N11" s="281"/>
      <c r="O11" s="282"/>
      <c r="P11" s="283"/>
      <c r="Q11" s="287"/>
      <c r="R11" s="286"/>
      <c r="S11" s="287"/>
      <c r="T11" s="286"/>
      <c r="U11" s="279"/>
      <c r="V11" s="241">
        <f>IF(D11="","",AD11)</f>
        <v>5.4988439220000004E-2</v>
      </c>
      <c r="W11" s="241"/>
      <c r="X11" s="241">
        <f t="shared" si="0"/>
        <v>2.325733722E-2</v>
      </c>
      <c r="Y11" s="241"/>
      <c r="Z11" s="241">
        <f>IF(D11="","",D11*F11*AN11)</f>
        <v>0.71135999999999999</v>
      </c>
      <c r="AA11" s="242"/>
      <c r="AD11" s="37">
        <f t="shared" si="10"/>
        <v>5.4988439220000004E-2</v>
      </c>
      <c r="AE11" s="37">
        <f t="shared" si="11"/>
        <v>2.325733722E-2</v>
      </c>
      <c r="AG11" s="40" t="b">
        <v>1</v>
      </c>
      <c r="AH11" s="37" t="str">
        <f t="shared" si="6"/>
        <v>0.93</v>
      </c>
      <c r="AI11" s="37" t="str">
        <f t="shared" si="7"/>
        <v>0.51</v>
      </c>
      <c r="AK11" s="37" t="e">
        <f t="shared" si="12"/>
        <v>#DIV/0!</v>
      </c>
      <c r="AL11" s="37" t="e">
        <f t="shared" si="13"/>
        <v>#DIV/0!</v>
      </c>
      <c r="AN11" s="37">
        <f>IF(共通条件・結果!$AA$7="８地域",H11,IF(AO11="FALSE",H11,IF(L11="風除室",1/((1/H11)+0.1),0.5*H11+0.5*(1/((1/H11)+AO11)))))</f>
        <v>1.6</v>
      </c>
      <c r="AO11" s="39" t="str">
        <f t="shared" si="14"/>
        <v>FALSE</v>
      </c>
    </row>
    <row r="12" spans="2:41" s="37" customFormat="1" ht="21.9" customHeight="1" x14ac:dyDescent="0.2">
      <c r="B12" s="183" t="s">
        <v>244</v>
      </c>
      <c r="C12" s="184"/>
      <c r="D12" s="181">
        <v>1.69</v>
      </c>
      <c r="E12" s="187"/>
      <c r="F12" s="226">
        <v>1.37</v>
      </c>
      <c r="G12" s="182"/>
      <c r="H12" s="213">
        <v>1.6</v>
      </c>
      <c r="I12" s="213"/>
      <c r="J12" s="213">
        <v>0.39</v>
      </c>
      <c r="K12" s="213"/>
      <c r="L12" s="227"/>
      <c r="M12" s="228"/>
      <c r="N12" s="281"/>
      <c r="O12" s="345"/>
      <c r="P12" s="283"/>
      <c r="Q12" s="287"/>
      <c r="R12" s="286"/>
      <c r="S12" s="287"/>
      <c r="T12" s="286"/>
      <c r="U12" s="279"/>
      <c r="V12" s="188">
        <f>IF(D12="","",AD12)</f>
        <v>0.2863579247100001</v>
      </c>
      <c r="W12" s="212"/>
      <c r="X12" s="188">
        <f t="shared" ref="X12" si="15">IF(D12="","",IF(ISERROR(AE12),"-",AE12))</f>
        <v>0.12111496371000001</v>
      </c>
      <c r="Y12" s="212"/>
      <c r="Z12" s="188">
        <f>IF(D12="","",D12*F12*AN12)</f>
        <v>3.7044800000000002</v>
      </c>
      <c r="AA12" s="189"/>
      <c r="AD12" s="37">
        <f t="shared" si="10"/>
        <v>0.2863579247100001</v>
      </c>
      <c r="AE12" s="37">
        <f t="shared" si="11"/>
        <v>0.12111496371000001</v>
      </c>
      <c r="AG12" s="40" t="b">
        <v>1</v>
      </c>
      <c r="AH12" s="37" t="str">
        <f t="shared" ref="AH12" si="16">IF(AG12=TRUE,"0.93",IF(ISERROR(AK12),"エラー",IF(AK12&gt;0.93,"0.93",AK12)))</f>
        <v>0.93</v>
      </c>
      <c r="AI12" s="37" t="str">
        <f t="shared" ref="AI12" si="17">IF(AG12=TRUE,"0.51",IF(ISERROR(AL12),"エラー",IF(AL12&gt;0.72,"0.72",AL12)))</f>
        <v>0.51</v>
      </c>
      <c r="AK12" s="37" t="e">
        <f t="shared" si="12"/>
        <v>#DIV/0!</v>
      </c>
      <c r="AL12" s="37" t="e">
        <f t="shared" si="13"/>
        <v>#DIV/0!</v>
      </c>
      <c r="AN12" s="37">
        <f>IF(共通条件・結果!$AA$7="８地域",H12,IF(AO12="FALSE",H12,IF(L12="風除室",1/((1/H12)+0.1),0.5*H12+0.5*(1/((1/H12)+AO12)))))</f>
        <v>1.6</v>
      </c>
      <c r="AO12" s="94" t="str">
        <f t="shared" si="14"/>
        <v>FALSE</v>
      </c>
    </row>
    <row r="13" spans="2:41" s="37" customFormat="1" ht="21.9" customHeight="1" x14ac:dyDescent="0.2">
      <c r="B13" s="183" t="s">
        <v>245</v>
      </c>
      <c r="C13" s="184"/>
      <c r="D13" s="181">
        <v>1.69</v>
      </c>
      <c r="E13" s="187"/>
      <c r="F13" s="226">
        <v>1.37</v>
      </c>
      <c r="G13" s="182"/>
      <c r="H13" s="213">
        <v>1.6</v>
      </c>
      <c r="I13" s="213"/>
      <c r="J13" s="213">
        <v>0.39</v>
      </c>
      <c r="K13" s="213"/>
      <c r="L13" s="227"/>
      <c r="M13" s="228"/>
      <c r="N13" s="281"/>
      <c r="O13" s="345"/>
      <c r="P13" s="283"/>
      <c r="Q13" s="287"/>
      <c r="R13" s="286"/>
      <c r="S13" s="287"/>
      <c r="T13" s="286"/>
      <c r="U13" s="279"/>
      <c r="V13" s="188">
        <f>IF(D13="","",AD13)</f>
        <v>0.2863579247100001</v>
      </c>
      <c r="W13" s="212"/>
      <c r="X13" s="188">
        <f t="shared" ref="X13" si="18">IF(D13="","",IF(ISERROR(AE13),"-",AE13))</f>
        <v>0.12111496371000001</v>
      </c>
      <c r="Y13" s="212"/>
      <c r="Z13" s="188">
        <f>IF(D13="","",D13*F13*AN13)</f>
        <v>3.7044800000000002</v>
      </c>
      <c r="AA13" s="189"/>
      <c r="AD13" s="37">
        <f t="shared" si="10"/>
        <v>0.2863579247100001</v>
      </c>
      <c r="AE13" s="37">
        <f t="shared" si="11"/>
        <v>0.12111496371000001</v>
      </c>
      <c r="AG13" s="40" t="b">
        <v>1</v>
      </c>
      <c r="AH13" s="37" t="str">
        <f t="shared" ref="AH13" si="19">IF(AG13=TRUE,"0.93",IF(ISERROR(AK13),"エラー",IF(AK13&gt;0.93,"0.93",AK13)))</f>
        <v>0.93</v>
      </c>
      <c r="AI13" s="37" t="str">
        <f t="shared" ref="AI13" si="20">IF(AG13=TRUE,"0.51",IF(ISERROR(AL13),"エラー",IF(AL13&gt;0.72,"0.72",AL13)))</f>
        <v>0.51</v>
      </c>
      <c r="AK13" s="37" t="e">
        <f t="shared" si="12"/>
        <v>#DIV/0!</v>
      </c>
      <c r="AL13" s="37" t="e">
        <f t="shared" si="13"/>
        <v>#DIV/0!</v>
      </c>
      <c r="AN13" s="37">
        <f>IF(共通条件・結果!$AA$7="８地域",H13,IF(AO13="FALSE",H13,IF(L13="風除室",1/((1/H13)+0.1),0.5*H13+0.5*(1/((1/H13)+AO13)))))</f>
        <v>1.6</v>
      </c>
      <c r="AO13" s="94" t="str">
        <f t="shared" si="14"/>
        <v>FALSE</v>
      </c>
    </row>
    <row r="14" spans="2:41" s="37" customFormat="1" ht="21.9" customHeight="1" x14ac:dyDescent="0.2">
      <c r="B14" s="183"/>
      <c r="C14" s="297"/>
      <c r="D14" s="298"/>
      <c r="E14" s="299"/>
      <c r="F14" s="299"/>
      <c r="G14" s="300"/>
      <c r="H14" s="213"/>
      <c r="I14" s="213"/>
      <c r="J14" s="213"/>
      <c r="K14" s="213"/>
      <c r="L14" s="235"/>
      <c r="M14" s="235"/>
      <c r="N14" s="281"/>
      <c r="O14" s="282"/>
      <c r="P14" s="283"/>
      <c r="Q14" s="287"/>
      <c r="R14" s="286"/>
      <c r="S14" s="287"/>
      <c r="T14" s="286"/>
      <c r="U14" s="279"/>
      <c r="V14" s="241" t="str">
        <f>IF(D14="","",AD14)</f>
        <v/>
      </c>
      <c r="W14" s="241"/>
      <c r="X14" s="241" t="str">
        <f t="shared" si="0"/>
        <v/>
      </c>
      <c r="Y14" s="241"/>
      <c r="Z14" s="241" t="str">
        <f>IF(D14="","",D14*F14*AN14)</f>
        <v/>
      </c>
      <c r="AA14" s="242"/>
      <c r="AD14" s="37" t="e">
        <f t="shared" si="10"/>
        <v>#VALUE!</v>
      </c>
      <c r="AE14" s="37" t="e">
        <f t="shared" si="11"/>
        <v>#VALUE!</v>
      </c>
      <c r="AG14" s="40" t="b">
        <v>0</v>
      </c>
      <c r="AH14" s="37" t="str">
        <f t="shared" si="6"/>
        <v>エラー</v>
      </c>
      <c r="AI14" s="37" t="str">
        <f t="shared" si="7"/>
        <v>エラー</v>
      </c>
      <c r="AK14" s="37" t="e">
        <f t="shared" si="12"/>
        <v>#DIV/0!</v>
      </c>
      <c r="AL14" s="37" t="e">
        <f t="shared" si="13"/>
        <v>#DIV/0!</v>
      </c>
      <c r="AN14" s="37">
        <f>IF(共通条件・結果!$AA$7="８地域",H14,IF(AO14="FALSE",H14,IF(L14="風除室",1/((1/H14)+0.1),0.5*H14+0.5*(1/((1/H14)+AO14)))))</f>
        <v>0</v>
      </c>
      <c r="AO14" s="39" t="str">
        <f t="shared" si="14"/>
        <v>FALSE</v>
      </c>
    </row>
    <row r="15" spans="2:41" s="37" customFormat="1" ht="21.9" customHeight="1" x14ac:dyDescent="0.2">
      <c r="B15" s="183"/>
      <c r="C15" s="297"/>
      <c r="D15" s="298"/>
      <c r="E15" s="299"/>
      <c r="F15" s="299"/>
      <c r="G15" s="300"/>
      <c r="H15" s="213"/>
      <c r="I15" s="213"/>
      <c r="J15" s="213"/>
      <c r="K15" s="213"/>
      <c r="L15" s="235"/>
      <c r="M15" s="235"/>
      <c r="N15" s="281"/>
      <c r="O15" s="282"/>
      <c r="P15" s="283"/>
      <c r="Q15" s="287"/>
      <c r="R15" s="286"/>
      <c r="S15" s="287"/>
      <c r="T15" s="286"/>
      <c r="U15" s="279"/>
      <c r="V15" s="188" t="str">
        <f t="shared" si="2"/>
        <v/>
      </c>
      <c r="W15" s="212"/>
      <c r="X15" s="241" t="str">
        <f t="shared" si="0"/>
        <v/>
      </c>
      <c r="Y15" s="241"/>
      <c r="Z15" s="241" t="str">
        <f t="shared" si="3"/>
        <v/>
      </c>
      <c r="AA15" s="242"/>
      <c r="AD15" s="37" t="e">
        <f t="shared" si="10"/>
        <v>#VALUE!</v>
      </c>
      <c r="AE15" s="37" t="e">
        <f t="shared" si="11"/>
        <v>#VALUE!</v>
      </c>
      <c r="AG15" s="40" t="b">
        <v>0</v>
      </c>
      <c r="AH15" s="37" t="str">
        <f t="shared" si="6"/>
        <v>エラー</v>
      </c>
      <c r="AI15" s="37" t="str">
        <f t="shared" si="7"/>
        <v>エラー</v>
      </c>
      <c r="AK15" s="37" t="e">
        <f t="shared" si="12"/>
        <v>#DIV/0!</v>
      </c>
      <c r="AL15" s="37" t="e">
        <f t="shared" si="13"/>
        <v>#DIV/0!</v>
      </c>
      <c r="AN15" s="37">
        <f>IF(共通条件・結果!$AA$7="８地域",H15,IF(AO15="FALSE",H15,IF(L15="風除室",1/((1/H15)+0.1),0.5*H15+0.5*(1/((1/H15)+AO15)))))</f>
        <v>0</v>
      </c>
      <c r="AO15" s="39" t="str">
        <f t="shared" si="14"/>
        <v>FALSE</v>
      </c>
    </row>
    <row r="16" spans="2:41" s="37" customFormat="1" ht="21.9" customHeight="1" x14ac:dyDescent="0.2">
      <c r="B16" s="183"/>
      <c r="C16" s="297"/>
      <c r="D16" s="298"/>
      <c r="E16" s="299"/>
      <c r="F16" s="299"/>
      <c r="G16" s="300"/>
      <c r="H16" s="213"/>
      <c r="I16" s="213"/>
      <c r="J16" s="213"/>
      <c r="K16" s="213"/>
      <c r="L16" s="235"/>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f>IF(共通条件・結果!$AA$7="８地域",H16,IF(AO16="FALSE",H16,IF(L16="風除室",1/((1/H16)+0.1),0.5*H16+0.5*(1/((1/H16)+AO16)))))</f>
        <v>0</v>
      </c>
      <c r="AO16" s="39" t="str">
        <f t="shared" si="1"/>
        <v>FALSE</v>
      </c>
    </row>
    <row r="17" spans="2:41" s="37" customFormat="1" ht="21.9" customHeight="1" x14ac:dyDescent="0.2">
      <c r="B17" s="183"/>
      <c r="C17" s="297"/>
      <c r="D17" s="298"/>
      <c r="E17" s="299"/>
      <c r="F17" s="299"/>
      <c r="G17" s="300"/>
      <c r="H17" s="213"/>
      <c r="I17" s="213"/>
      <c r="J17" s="213"/>
      <c r="K17" s="213"/>
      <c r="L17" s="235"/>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f>IF(共通条件・結果!$AA$7="８地域",H17,IF(AO17="FALSE",H17,IF(L17="風除室",1/((1/H17)+0.1),0.5*H17+0.5*(1/((1/H17)+AO17)))))</f>
        <v>0</v>
      </c>
      <c r="AO17" s="39" t="str">
        <f t="shared" si="1"/>
        <v>FALSE</v>
      </c>
    </row>
    <row r="18" spans="2:41" s="37" customFormat="1" ht="21.9" customHeight="1" x14ac:dyDescent="0.2">
      <c r="B18" s="183"/>
      <c r="C18" s="297"/>
      <c r="D18" s="298"/>
      <c r="E18" s="299"/>
      <c r="F18" s="299"/>
      <c r="G18" s="300"/>
      <c r="H18" s="213"/>
      <c r="I18" s="213"/>
      <c r="J18" s="213"/>
      <c r="K18" s="213"/>
      <c r="L18" s="235"/>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f>IF(共通条件・結果!$AA$7="８地域",H18,IF(AO18="FALSE",H18,IF(L18="風除室",1/((1/H18)+0.1),0.5*H18+0.5*(1/((1/H18)+AO18)))))</f>
        <v>0</v>
      </c>
      <c r="AO18" s="39" t="str">
        <f t="shared" si="1"/>
        <v>FALSE</v>
      </c>
    </row>
    <row r="19" spans="2:41" s="37" customFormat="1" ht="21.9" customHeight="1" thickBot="1" x14ac:dyDescent="0.25">
      <c r="B19" s="175"/>
      <c r="C19" s="288"/>
      <c r="D19" s="198"/>
      <c r="E19" s="199"/>
      <c r="F19" s="199"/>
      <c r="G19" s="233"/>
      <c r="H19" s="234"/>
      <c r="I19" s="234"/>
      <c r="J19" s="234"/>
      <c r="K19" s="234"/>
      <c r="L19" s="296"/>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f>IF(共通条件・結果!$AA$7="８地域",H19,IF(AO19="FALSE",H19,IF(L19="風除室",1/((1/H19)+0.1),0.5*H19+0.5*(1/((1/H19)+AO19)))))</f>
        <v>0</v>
      </c>
      <c r="AO19" s="39" t="str">
        <f t="shared" si="1"/>
        <v>FALSE</v>
      </c>
    </row>
    <row r="20" spans="2:41" s="37" customFormat="1" ht="21.9" customHeight="1" thickBot="1" x14ac:dyDescent="0.25">
      <c r="B20" s="229" t="s">
        <v>77</v>
      </c>
      <c r="C20" s="230"/>
      <c r="D20" s="230"/>
      <c r="E20" s="230"/>
      <c r="F20" s="230"/>
      <c r="G20" s="230"/>
      <c r="H20" s="230"/>
      <c r="I20" s="230"/>
      <c r="J20" s="230"/>
      <c r="K20" s="230"/>
      <c r="L20" s="230"/>
      <c r="M20" s="230"/>
      <c r="N20" s="230"/>
      <c r="O20" s="230"/>
      <c r="P20" s="230"/>
      <c r="Q20" s="230"/>
      <c r="R20" s="230"/>
      <c r="S20" s="230"/>
      <c r="T20" s="230"/>
      <c r="U20" s="230"/>
      <c r="V20" s="218">
        <f>SUM(V8:W19)</f>
        <v>0.79266960630000027</v>
      </c>
      <c r="W20" s="218"/>
      <c r="X20" s="218">
        <f>SUM(X8:Y19)</f>
        <v>0.33525927630000002</v>
      </c>
      <c r="Y20" s="218"/>
      <c r="Z20" s="218">
        <f>SUM(Z8:AA19)</f>
        <v>10.2544</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37" t="s">
        <v>87</v>
      </c>
      <c r="AO24" s="37" t="s">
        <v>85</v>
      </c>
    </row>
    <row r="25" spans="2:41" s="37" customFormat="1" ht="21.9" customHeight="1" x14ac:dyDescent="0.2">
      <c r="C25" s="41"/>
      <c r="D25" s="41"/>
      <c r="E25" s="41"/>
      <c r="F25" s="41"/>
      <c r="G25" s="41"/>
      <c r="H25" s="41"/>
      <c r="I25" s="41"/>
      <c r="J25" s="303" t="s">
        <v>246</v>
      </c>
      <c r="K25" s="351"/>
      <c r="L25" s="351"/>
      <c r="M25" s="346"/>
      <c r="N25" s="278">
        <v>1</v>
      </c>
      <c r="O25" s="220"/>
      <c r="P25" s="220">
        <v>2</v>
      </c>
      <c r="Q25" s="221"/>
      <c r="R25" s="222">
        <v>1.75</v>
      </c>
      <c r="S25" s="222"/>
      <c r="T25" s="223"/>
      <c r="U25" s="223"/>
      <c r="V25" s="224">
        <f>IF(N25="","",N25*P25*R25*0.034*$V$4)</f>
        <v>4.0579000000000004E-2</v>
      </c>
      <c r="W25" s="224"/>
      <c r="X25" s="224">
        <f>IF(N25="","",IF(ISERROR(N25*P25*R25*0.034*$X$4),"-",N25*P25*R25*0.034*$X$4))</f>
        <v>3.1297000000000005E-2</v>
      </c>
      <c r="Y25" s="224"/>
      <c r="Z25" s="224">
        <f>IF(N25="","",N25*P25*AN25)</f>
        <v>3.5</v>
      </c>
      <c r="AA25" s="225"/>
      <c r="AN25" s="37">
        <f>IF(共通条件・結果!$AA$7="８地域",R25,IF(AO25="FALSE",R25,IF(T25="風除室",1/((1/R25)+0.1),0.5*R25+0.5*(1/((1/R25)+AO25)))))</f>
        <v>1.75</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4"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c r="U27" s="235"/>
      <c r="V27" s="211" t="str">
        <f>IF(N27="","",N27*P27*R27*0.034*$V$4)</f>
        <v/>
      </c>
      <c r="W27" s="211"/>
      <c r="X27" s="211" t="str">
        <f>IF(N27="","",IF(ISERROR(N27*P27*R27*0.034*$X$4),"-",N27*P27*R27*0.034*$X$4))</f>
        <v/>
      </c>
      <c r="Y27" s="211"/>
      <c r="Z27" s="211" t="str">
        <f>IF(N27="","",N27*P27*AN27)</f>
        <v/>
      </c>
      <c r="AA27" s="217"/>
      <c r="AN27" s="37">
        <f>IF(共通条件・結果!$AA$7="８地域",R27,IF(AO27="FALSE",R27,IF(T27="風除室",1/((1/R27)+0.1),0.5*R27+0.5*(1/((1/R27)+AO27)))))</f>
        <v>0</v>
      </c>
      <c r="AO27" s="39" t="str">
        <f>IF(T27="","FALSE",IF(T27="雨戸",0.1,IF(T27="ｼｬｯﾀｰ",0.1,IF(T27="障子",0.18,IF(T27="風除室",0.1)))))</f>
        <v>FALSE</v>
      </c>
    </row>
    <row r="28" spans="2:41" s="37" customFormat="1" ht="21.9" customHeight="1" thickBot="1" x14ac:dyDescent="0.25">
      <c r="C28" s="41"/>
      <c r="D28" s="41"/>
      <c r="E28" s="41"/>
      <c r="F28" s="41"/>
      <c r="G28" s="41"/>
      <c r="H28" s="41"/>
      <c r="I28" s="41"/>
      <c r="J28" s="229" t="s">
        <v>142</v>
      </c>
      <c r="K28" s="230"/>
      <c r="L28" s="230"/>
      <c r="M28" s="230"/>
      <c r="N28" s="230"/>
      <c r="O28" s="230"/>
      <c r="P28" s="230"/>
      <c r="Q28" s="230"/>
      <c r="R28" s="230"/>
      <c r="S28" s="230"/>
      <c r="T28" s="230"/>
      <c r="U28" s="231"/>
      <c r="V28" s="218">
        <f>SUM(V25:W27)</f>
        <v>4.0579000000000004E-2</v>
      </c>
      <c r="W28" s="218"/>
      <c r="X28" s="218">
        <f>SUM(X25:Y27)</f>
        <v>3.1297000000000005E-2</v>
      </c>
      <c r="Y28" s="218"/>
      <c r="Z28" s="218">
        <f>SUM(Z25:AA27)</f>
        <v>3.5</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256</v>
      </c>
      <c r="K33" s="346"/>
      <c r="L33" s="247">
        <f>(8.1+2.7)*(2.4+0.438+2.4+0.043+0.105+0.02)</f>
        <v>58.384799999999998</v>
      </c>
      <c r="M33" s="248"/>
      <c r="N33" s="247">
        <f>6.409+2</f>
        <v>8.4089999999999989</v>
      </c>
      <c r="O33" s="248"/>
      <c r="P33" s="249">
        <f>IF(L33="","",L33-N33)</f>
        <v>49.9758</v>
      </c>
      <c r="Q33" s="250"/>
      <c r="R33" s="222">
        <v>0.23555458027078999</v>
      </c>
      <c r="S33" s="222"/>
      <c r="T33" s="251"/>
      <c r="U33" s="251"/>
      <c r="V33" s="224">
        <f>IF(P33="","",IF(AD33=TRUE,0,P33*R33*0.034*$V$4))</f>
        <v>0.13648489950372841</v>
      </c>
      <c r="W33" s="224"/>
      <c r="X33" s="252">
        <f>IF(P33="","",IF(ISERROR(P33*R33*0.034*$X$4),"-",IF(AD33=TRUE,0,P33*R33*0.034*$X$4)))</f>
        <v>0.1052654796758961</v>
      </c>
      <c r="Y33" s="253"/>
      <c r="Z33" s="224">
        <f>IF(R33="","",IF(AD33=TRUE,0.7*R33*P33,R33*P33))</f>
        <v>11.772028592696946</v>
      </c>
      <c r="AA33" s="225"/>
      <c r="AD33" s="40" t="b">
        <v>0</v>
      </c>
      <c r="AE33" s="96">
        <f>IF(AD33=TRUE,0.7,1)</f>
        <v>1</v>
      </c>
      <c r="AF33" s="40" t="str">
        <f>IF(AD33=TRUE,0,"セル")</f>
        <v>セル</v>
      </c>
    </row>
    <row r="34" spans="2:32" s="37" customFormat="1" ht="21.9" customHeight="1" x14ac:dyDescent="0.2">
      <c r="C34" s="41"/>
      <c r="D34" s="41"/>
      <c r="E34" s="41"/>
      <c r="F34" s="41"/>
      <c r="G34" s="41"/>
      <c r="H34" s="41"/>
      <c r="I34" s="41"/>
      <c r="J34" s="183" t="s">
        <v>262</v>
      </c>
      <c r="K34" s="184"/>
      <c r="L34" s="181">
        <f>0.5*10.8</f>
        <v>5.4</v>
      </c>
      <c r="M34" s="182"/>
      <c r="N34" s="181">
        <v>0</v>
      </c>
      <c r="O34" s="182"/>
      <c r="P34" s="185">
        <f>IF(L34="","",L34-N34)</f>
        <v>5.4</v>
      </c>
      <c r="Q34" s="186"/>
      <c r="R34" s="181">
        <v>0.26183640835258143</v>
      </c>
      <c r="S34" s="182"/>
      <c r="T34" s="179"/>
      <c r="U34" s="180"/>
      <c r="V34" s="188">
        <f>IF(P34="","",IF(AD34=TRUE,0,P34*R34*0.034*$V$4))</f>
        <v>1.6392949119575079E-2</v>
      </c>
      <c r="W34" s="212"/>
      <c r="X34" s="188">
        <f>IF(P34="","",IF(ISERROR(P34*R34*0.034*$X$4),"-",IF(AD34=TRUE,0,P34*R34*0.034*$X$4)))</f>
        <v>1.2643242282839431E-2</v>
      </c>
      <c r="Y34" s="212"/>
      <c r="Z34" s="188">
        <f>IF(R34="","",IF(AD34=TRUE,0.7*R34*P34,R34*P34))</f>
        <v>1.4139166051039398</v>
      </c>
      <c r="AA34" s="189"/>
      <c r="AD34" s="40" t="b">
        <v>0</v>
      </c>
      <c r="AE34" s="96">
        <f>IF(AD34=TRUE,0.7,1)</f>
        <v>1</v>
      </c>
      <c r="AF34" s="40" t="str">
        <f>IF(AD34=TRUE,0,"セル")</f>
        <v>セル</v>
      </c>
    </row>
    <row r="35" spans="2:32" s="37" customFormat="1" ht="21.9" customHeight="1" x14ac:dyDescent="0.2">
      <c r="C35" s="41"/>
      <c r="D35" s="41"/>
      <c r="E35" s="41"/>
      <c r="F35" s="41"/>
      <c r="G35" s="41"/>
      <c r="H35" s="41"/>
      <c r="I35" s="41"/>
      <c r="J35" s="183"/>
      <c r="K35" s="184"/>
      <c r="L35" s="181"/>
      <c r="M35" s="182"/>
      <c r="N35" s="181"/>
      <c r="O35" s="182"/>
      <c r="P35" s="185" t="str">
        <f>IF(L35="","",L35-N35)</f>
        <v/>
      </c>
      <c r="Q35" s="186"/>
      <c r="R35" s="181"/>
      <c r="S35" s="182"/>
      <c r="T35" s="179"/>
      <c r="U35" s="180"/>
      <c r="V35" s="188" t="str">
        <f>IF(P35="","",IF(AD35=TRUE,0,P35*R35*0.034*$V$4))</f>
        <v/>
      </c>
      <c r="W35" s="212"/>
      <c r="X35" s="188" t="str">
        <f>IF(P35="","",IF(ISERROR(P35*R35*0.034*$X$4),"-",IF(AD35=TRUE,0,P35*R35*0.034*$X$4)))</f>
        <v/>
      </c>
      <c r="Y35" s="212"/>
      <c r="Z35" s="177" t="str">
        <f>IF(R35="","",IF(AD35=TRUE,0.7*R35*P35,R35*P35))</f>
        <v/>
      </c>
      <c r="AA35" s="178"/>
      <c r="AD35" s="40" t="b">
        <v>0</v>
      </c>
      <c r="AE35" s="96">
        <f>IF(AD35=TRUE,0.7,1)</f>
        <v>1</v>
      </c>
      <c r="AF35" s="40" t="str">
        <f>IF(AD35=TRUE,0,"セル")</f>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96">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96">
        <f>IF(AD37=TRUE,0.7,1)</f>
        <v>1</v>
      </c>
      <c r="AF37" s="40" t="str">
        <f>IF(AD37=TRUE,0,"セル")</f>
        <v>セル</v>
      </c>
    </row>
    <row r="38" spans="2:32" s="37" customFormat="1" ht="21.9" customHeight="1" thickBot="1" x14ac:dyDescent="0.25">
      <c r="J38" s="229" t="s">
        <v>78</v>
      </c>
      <c r="K38" s="230"/>
      <c r="L38" s="230"/>
      <c r="M38" s="230"/>
      <c r="N38" s="230"/>
      <c r="O38" s="230"/>
      <c r="P38" s="230"/>
      <c r="Q38" s="230"/>
      <c r="R38" s="230"/>
      <c r="S38" s="230"/>
      <c r="T38" s="230"/>
      <c r="U38" s="231"/>
      <c r="V38" s="218">
        <f>SUM(V33:W37)</f>
        <v>0.1528778486233035</v>
      </c>
      <c r="W38" s="218"/>
      <c r="X38" s="218">
        <f>SUM(X33:Y37)</f>
        <v>0.11790872195873553</v>
      </c>
      <c r="Y38" s="218"/>
      <c r="Z38" s="218">
        <f>SUM(Z33:AA37)</f>
        <v>13.185945197800887</v>
      </c>
      <c r="AA38" s="219"/>
    </row>
    <row r="39" spans="2:32" s="37" customFormat="1" ht="9.9" customHeight="1" x14ac:dyDescent="0.2"/>
    <row r="40" spans="2:32" s="37" customFormat="1" ht="21.9" customHeight="1" thickBot="1" x14ac:dyDescent="0.25">
      <c r="B40" s="38" t="s">
        <v>116</v>
      </c>
    </row>
    <row r="41" spans="2:32" s="37" customFormat="1" ht="21.9" customHeight="1" x14ac:dyDescent="0.2">
      <c r="B41" s="258" t="s">
        <v>79</v>
      </c>
      <c r="C41" s="259"/>
      <c r="D41" s="268" t="s">
        <v>56</v>
      </c>
      <c r="E41" s="269"/>
      <c r="F41" s="269"/>
      <c r="G41" s="269"/>
      <c r="H41" s="269"/>
      <c r="I41" s="269"/>
      <c r="J41" s="270"/>
      <c r="K41" s="42"/>
      <c r="L41" s="264">
        <f>Q41+U41+Y41</f>
        <v>63.784799999999997</v>
      </c>
      <c r="M41" s="264"/>
      <c r="N41" s="264"/>
      <c r="O41" s="42" t="s">
        <v>24</v>
      </c>
      <c r="P41" s="43" t="s">
        <v>23</v>
      </c>
      <c r="Q41" s="265">
        <f>D8*F8+D9*F9+D10*F10+D11*F11+D12*F12+D13*F13+D14*F14+D15*F15+D16*F16+D17*F17+D18*F18+D19*F19</f>
        <v>6.4090000000000007</v>
      </c>
      <c r="R41" s="265"/>
      <c r="S41" s="44" t="s">
        <v>25</v>
      </c>
      <c r="T41" s="44" t="s">
        <v>22</v>
      </c>
      <c r="U41" s="266">
        <f>N25*P25+N26*P26+N27*P27</f>
        <v>2</v>
      </c>
      <c r="V41" s="266"/>
      <c r="W41" s="44" t="s">
        <v>25</v>
      </c>
      <c r="X41" s="44" t="s">
        <v>1</v>
      </c>
      <c r="Y41" s="267">
        <f>SUM(P33:Q37)</f>
        <v>55.375799999999998</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0.98612645492330375</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0.48446499825873557</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26.940345197800887</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tMonNcyT+qO/cB2pNcL43uJmyk/wJDSnEfyDJbd4DQsdtflsbiaOBtsicpo/Pr5lI0miXHmZs2FZsaoJHB0VYg==" saltValue="s/H5fV6TBMh5AhJFKkilyA==" spinCount="100000" sheet="1" objects="1" scenarios="1" selectLockedCells="1"/>
  <mergeCells count="293">
    <mergeCell ref="Z14:AA14"/>
    <mergeCell ref="R12:S12"/>
    <mergeCell ref="T12:U12"/>
    <mergeCell ref="T13:U13"/>
    <mergeCell ref="V13:W13"/>
    <mergeCell ref="X13:Y13"/>
    <mergeCell ref="Z13:AA13"/>
    <mergeCell ref="Z12:AA12"/>
    <mergeCell ref="Z11:AA11"/>
    <mergeCell ref="X11:Y11"/>
    <mergeCell ref="V12:W12"/>
    <mergeCell ref="X12:Y12"/>
    <mergeCell ref="R13:S13"/>
    <mergeCell ref="J33:K33"/>
    <mergeCell ref="B15:C15"/>
    <mergeCell ref="D15:E15"/>
    <mergeCell ref="F15:G15"/>
    <mergeCell ref="H15:I15"/>
    <mergeCell ref="B16:C16"/>
    <mergeCell ref="D16:E16"/>
    <mergeCell ref="F16:G16"/>
    <mergeCell ref="H16:I16"/>
    <mergeCell ref="J16:K16"/>
    <mergeCell ref="F19:G19"/>
    <mergeCell ref="J31:K32"/>
    <mergeCell ref="J23:M24"/>
    <mergeCell ref="J25:M25"/>
    <mergeCell ref="J27:M27"/>
    <mergeCell ref="J15:K15"/>
    <mergeCell ref="L15:M15"/>
    <mergeCell ref="B17:C17"/>
    <mergeCell ref="D17:E17"/>
    <mergeCell ref="F17:G17"/>
    <mergeCell ref="H17:I17"/>
    <mergeCell ref="J17:K17"/>
    <mergeCell ref="J26:M26"/>
    <mergeCell ref="B14:C14"/>
    <mergeCell ref="D14:E14"/>
    <mergeCell ref="F14:G14"/>
    <mergeCell ref="H14:I14"/>
    <mergeCell ref="J14:K14"/>
    <mergeCell ref="L14:M14"/>
    <mergeCell ref="P10:Q10"/>
    <mergeCell ref="T11:U11"/>
    <mergeCell ref="V11:W11"/>
    <mergeCell ref="B12:C12"/>
    <mergeCell ref="B13:C13"/>
    <mergeCell ref="D12:E12"/>
    <mergeCell ref="F12:G12"/>
    <mergeCell ref="H12:I12"/>
    <mergeCell ref="J12:K12"/>
    <mergeCell ref="L12:M12"/>
    <mergeCell ref="D13:E13"/>
    <mergeCell ref="F13:G13"/>
    <mergeCell ref="H13:I13"/>
    <mergeCell ref="J13:K13"/>
    <mergeCell ref="L13:M13"/>
    <mergeCell ref="P13:Q13"/>
    <mergeCell ref="N12:O12"/>
    <mergeCell ref="N13:O13"/>
    <mergeCell ref="X10:Y10"/>
    <mergeCell ref="P15:Q15"/>
    <mergeCell ref="R15:S15"/>
    <mergeCell ref="R16:S16"/>
    <mergeCell ref="N16:O16"/>
    <mergeCell ref="P16:Q16"/>
    <mergeCell ref="N14:O14"/>
    <mergeCell ref="P14:Q14"/>
    <mergeCell ref="R14:S14"/>
    <mergeCell ref="T15:U15"/>
    <mergeCell ref="V15:W15"/>
    <mergeCell ref="T14:U14"/>
    <mergeCell ref="N15:O15"/>
    <mergeCell ref="V14:W14"/>
    <mergeCell ref="B2:AA2"/>
    <mergeCell ref="R4:U4"/>
    <mergeCell ref="V4:W4"/>
    <mergeCell ref="X4:Y4"/>
    <mergeCell ref="B5:C7"/>
    <mergeCell ref="D5:G5"/>
    <mergeCell ref="H5:I7"/>
    <mergeCell ref="D6:E7"/>
    <mergeCell ref="F6:G7"/>
    <mergeCell ref="N6:O7"/>
    <mergeCell ref="X5:Y7"/>
    <mergeCell ref="Z5:AA7"/>
    <mergeCell ref="P6:U6"/>
    <mergeCell ref="J5:K7"/>
    <mergeCell ref="L5:M7"/>
    <mergeCell ref="N5:U5"/>
    <mergeCell ref="AD6:AE6"/>
    <mergeCell ref="AH6:AI6"/>
    <mergeCell ref="N8:O8"/>
    <mergeCell ref="AK6:AL6"/>
    <mergeCell ref="P7:Q7"/>
    <mergeCell ref="R7:S7"/>
    <mergeCell ref="T7:U7"/>
    <mergeCell ref="V5:W7"/>
    <mergeCell ref="V8:W8"/>
    <mergeCell ref="X8:Y8"/>
    <mergeCell ref="P8:Q8"/>
    <mergeCell ref="R8:S8"/>
    <mergeCell ref="T8:U8"/>
    <mergeCell ref="Z9:AA9"/>
    <mergeCell ref="Z8:AA8"/>
    <mergeCell ref="B8:C8"/>
    <mergeCell ref="D8:E8"/>
    <mergeCell ref="F8:G8"/>
    <mergeCell ref="H8:I8"/>
    <mergeCell ref="J8:K8"/>
    <mergeCell ref="L8:M8"/>
    <mergeCell ref="B9:C9"/>
    <mergeCell ref="D9:E9"/>
    <mergeCell ref="N9:O9"/>
    <mergeCell ref="P9:Q9"/>
    <mergeCell ref="R9:S9"/>
    <mergeCell ref="F9:G9"/>
    <mergeCell ref="H9:I9"/>
    <mergeCell ref="J9:K9"/>
    <mergeCell ref="L9:M9"/>
    <mergeCell ref="T9:U9"/>
    <mergeCell ref="V9:W9"/>
    <mergeCell ref="X9:Y9"/>
    <mergeCell ref="Z15:AA15"/>
    <mergeCell ref="Z10:AA10"/>
    <mergeCell ref="B11:C11"/>
    <mergeCell ref="D11:E11"/>
    <mergeCell ref="F11:G11"/>
    <mergeCell ref="H11:I11"/>
    <mergeCell ref="J11:K11"/>
    <mergeCell ref="L11:M11"/>
    <mergeCell ref="P11:Q11"/>
    <mergeCell ref="R11:S11"/>
    <mergeCell ref="N10:O10"/>
    <mergeCell ref="B10:C10"/>
    <mergeCell ref="D10:E10"/>
    <mergeCell ref="F10:G10"/>
    <mergeCell ref="H10:I10"/>
    <mergeCell ref="J10:K10"/>
    <mergeCell ref="L10:M10"/>
    <mergeCell ref="P12:Q12"/>
    <mergeCell ref="X15:Y15"/>
    <mergeCell ref="X14:Y14"/>
    <mergeCell ref="R10:S10"/>
    <mergeCell ref="T10:U10"/>
    <mergeCell ref="V10:W10"/>
    <mergeCell ref="N11:O11"/>
    <mergeCell ref="Z17:AA17"/>
    <mergeCell ref="B18:C18"/>
    <mergeCell ref="D18:E18"/>
    <mergeCell ref="F18:G18"/>
    <mergeCell ref="Z16:AA16"/>
    <mergeCell ref="L17:M17"/>
    <mergeCell ref="N17:O17"/>
    <mergeCell ref="H18:I18"/>
    <mergeCell ref="J18:K18"/>
    <mergeCell ref="L18:M18"/>
    <mergeCell ref="T17:U17"/>
    <mergeCell ref="V17:W17"/>
    <mergeCell ref="T16:U16"/>
    <mergeCell ref="V16:W16"/>
    <mergeCell ref="X16:Y16"/>
    <mergeCell ref="L16:M16"/>
    <mergeCell ref="N19:O19"/>
    <mergeCell ref="P19:Q19"/>
    <mergeCell ref="R19:S19"/>
    <mergeCell ref="T19:U19"/>
    <mergeCell ref="V19:W19"/>
    <mergeCell ref="H19:I19"/>
    <mergeCell ref="J19:K19"/>
    <mergeCell ref="L19:M19"/>
    <mergeCell ref="Z18:AA18"/>
    <mergeCell ref="V23:W24"/>
    <mergeCell ref="X23:Y24"/>
    <mergeCell ref="Z23:AA24"/>
    <mergeCell ref="N24:O24"/>
    <mergeCell ref="P24:Q24"/>
    <mergeCell ref="N25:O25"/>
    <mergeCell ref="N23:Q23"/>
    <mergeCell ref="X17:Y17"/>
    <mergeCell ref="T18:U18"/>
    <mergeCell ref="V18:W18"/>
    <mergeCell ref="X18:Y18"/>
    <mergeCell ref="N18:O18"/>
    <mergeCell ref="P18:Q18"/>
    <mergeCell ref="R18:S18"/>
    <mergeCell ref="P17:Q17"/>
    <mergeCell ref="R17:S17"/>
    <mergeCell ref="X19:Y19"/>
    <mergeCell ref="Z19:AA19"/>
    <mergeCell ref="B20:U20"/>
    <mergeCell ref="V20:W20"/>
    <mergeCell ref="X20:Y20"/>
    <mergeCell ref="Z20:AA20"/>
    <mergeCell ref="B19:C19"/>
    <mergeCell ref="D19:E19"/>
    <mergeCell ref="B41:C44"/>
    <mergeCell ref="X38:Y38"/>
    <mergeCell ref="Z38:AA38"/>
    <mergeCell ref="D43:J43"/>
    <mergeCell ref="W43:Y43"/>
    <mergeCell ref="L41:N41"/>
    <mergeCell ref="Q41:R41"/>
    <mergeCell ref="U41:V41"/>
    <mergeCell ref="Y41:Z41"/>
    <mergeCell ref="D41:J41"/>
    <mergeCell ref="D44:J44"/>
    <mergeCell ref="W44:Y44"/>
    <mergeCell ref="J38:U38"/>
    <mergeCell ref="AN6:AO6"/>
    <mergeCell ref="D42:J42"/>
    <mergeCell ref="W42:Y42"/>
    <mergeCell ref="X36:Y36"/>
    <mergeCell ref="Z36:AA36"/>
    <mergeCell ref="Z37:AA37"/>
    <mergeCell ref="V38:W38"/>
    <mergeCell ref="P36:Q36"/>
    <mergeCell ref="V31:W32"/>
    <mergeCell ref="T36:U36"/>
    <mergeCell ref="V36:W36"/>
    <mergeCell ref="L36:M36"/>
    <mergeCell ref="Z31:AA32"/>
    <mergeCell ref="L33:M33"/>
    <mergeCell ref="N33:O33"/>
    <mergeCell ref="P33:Q33"/>
    <mergeCell ref="R33:S33"/>
    <mergeCell ref="T33:U33"/>
    <mergeCell ref="V33:W33"/>
    <mergeCell ref="X33:Y33"/>
    <mergeCell ref="Z33:AA33"/>
    <mergeCell ref="P31:Q32"/>
    <mergeCell ref="AN21:AO21"/>
    <mergeCell ref="AN23:AO23"/>
    <mergeCell ref="R23:S24"/>
    <mergeCell ref="T23:U24"/>
    <mergeCell ref="P35:Q35"/>
    <mergeCell ref="Z27:AA27"/>
    <mergeCell ref="V28:W28"/>
    <mergeCell ref="X28:Y28"/>
    <mergeCell ref="Z28:AA28"/>
    <mergeCell ref="P25:Q25"/>
    <mergeCell ref="R25:S25"/>
    <mergeCell ref="T25:U25"/>
    <mergeCell ref="V25:W25"/>
    <mergeCell ref="X25:Y25"/>
    <mergeCell ref="Z25:AA25"/>
    <mergeCell ref="P26:Q26"/>
    <mergeCell ref="R26:S26"/>
    <mergeCell ref="T26:U26"/>
    <mergeCell ref="V26:W26"/>
    <mergeCell ref="X26:Y26"/>
    <mergeCell ref="Z26:AA26"/>
    <mergeCell ref="J28:U28"/>
    <mergeCell ref="X31:Y32"/>
    <mergeCell ref="P27:Q27"/>
    <mergeCell ref="R27:S27"/>
    <mergeCell ref="T27:U27"/>
    <mergeCell ref="N26:O26"/>
    <mergeCell ref="Z34:AA34"/>
    <mergeCell ref="L37:M37"/>
    <mergeCell ref="R31:S32"/>
    <mergeCell ref="T31:U32"/>
    <mergeCell ref="N27:O27"/>
    <mergeCell ref="L31:M32"/>
    <mergeCell ref="N31:O32"/>
    <mergeCell ref="T37:U37"/>
    <mergeCell ref="V37:W37"/>
    <mergeCell ref="X37:Y37"/>
    <mergeCell ref="N36:O36"/>
    <mergeCell ref="N37:O37"/>
    <mergeCell ref="P37:Q37"/>
    <mergeCell ref="R37:S37"/>
    <mergeCell ref="V27:W27"/>
    <mergeCell ref="X27:Y27"/>
    <mergeCell ref="V34:W34"/>
    <mergeCell ref="X34:Y34"/>
    <mergeCell ref="R36:S36"/>
    <mergeCell ref="V35:W35"/>
    <mergeCell ref="X35:Y35"/>
    <mergeCell ref="J37:K37"/>
    <mergeCell ref="Z35:AA35"/>
    <mergeCell ref="T35:U35"/>
    <mergeCell ref="L35:M35"/>
    <mergeCell ref="J35:K35"/>
    <mergeCell ref="N35:O35"/>
    <mergeCell ref="R35:S35"/>
    <mergeCell ref="J34:K34"/>
    <mergeCell ref="L34:M34"/>
    <mergeCell ref="N34:O34"/>
    <mergeCell ref="R34:S34"/>
    <mergeCell ref="T34:U34"/>
    <mergeCell ref="P34:Q34"/>
    <mergeCell ref="J36:K36"/>
  </mergeCells>
  <phoneticPr fontId="2"/>
  <conditionalFormatting sqref="V20:W20">
    <cfRule type="expression" dxfId="255" priority="66" stopIfTrue="1">
      <formula>$V$20=0</formula>
    </cfRule>
  </conditionalFormatting>
  <conditionalFormatting sqref="X20:Y20">
    <cfRule type="expression" dxfId="254" priority="65" stopIfTrue="1">
      <formula>$X$20=0</formula>
    </cfRule>
  </conditionalFormatting>
  <conditionalFormatting sqref="Z20:AA20">
    <cfRule type="expression" dxfId="253" priority="64" stopIfTrue="1">
      <formula>$Z$20=0</formula>
    </cfRule>
  </conditionalFormatting>
  <conditionalFormatting sqref="V28:W28">
    <cfRule type="expression" dxfId="252" priority="63" stopIfTrue="1">
      <formula>$V$28:$W$28=0</formula>
    </cfRule>
  </conditionalFormatting>
  <conditionalFormatting sqref="V38:W38">
    <cfRule type="expression" dxfId="251" priority="62" stopIfTrue="1">
      <formula>$V$38:$W$38=0</formula>
    </cfRule>
  </conditionalFormatting>
  <conditionalFormatting sqref="Y41:Z41">
    <cfRule type="expression" dxfId="250" priority="61" stopIfTrue="1">
      <formula>$Y$41=0</formula>
    </cfRule>
  </conditionalFormatting>
  <conditionalFormatting sqref="Q41:R41">
    <cfRule type="expression" dxfId="249" priority="60" stopIfTrue="1">
      <formula>$Q$41=0</formula>
    </cfRule>
  </conditionalFormatting>
  <conditionalFormatting sqref="U41:V41">
    <cfRule type="expression" dxfId="248" priority="59" stopIfTrue="1">
      <formula>$U$41=0</formula>
    </cfRule>
  </conditionalFormatting>
  <conditionalFormatting sqref="L41:N41">
    <cfRule type="expression" dxfId="247" priority="58" stopIfTrue="1">
      <formula>$L$41=0</formula>
    </cfRule>
  </conditionalFormatting>
  <conditionalFormatting sqref="X8:Y8">
    <cfRule type="expression" dxfId="246" priority="56" stopIfTrue="1">
      <formula>#VALUE!</formula>
    </cfRule>
    <cfRule type="expression" dxfId="245" priority="57" stopIfTrue="1">
      <formula>#VALUE!</formula>
    </cfRule>
  </conditionalFormatting>
  <conditionalFormatting sqref="X19:Y19">
    <cfRule type="expression" dxfId="244" priority="55" stopIfTrue="1">
      <formula>#VALUE!</formula>
    </cfRule>
  </conditionalFormatting>
  <conditionalFormatting sqref="X28:Y28">
    <cfRule type="expression" dxfId="243" priority="28" stopIfTrue="1">
      <formula>$X$28:$Y$28=0</formula>
    </cfRule>
  </conditionalFormatting>
  <conditionalFormatting sqref="Z28:AA28">
    <cfRule type="expression" dxfId="242" priority="27" stopIfTrue="1">
      <formula>$Z$28:$AA$28=0</formula>
    </cfRule>
  </conditionalFormatting>
  <conditionalFormatting sqref="X38:Y38">
    <cfRule type="expression" dxfId="241" priority="26" stopIfTrue="1">
      <formula>$X$38:$Y$38=0</formula>
    </cfRule>
  </conditionalFormatting>
  <conditionalFormatting sqref="Z38:AA38">
    <cfRule type="expression" dxfId="240" priority="25" stopIfTrue="1">
      <formula>$Z$38:$AA$38=0</formula>
    </cfRule>
  </conditionalFormatting>
  <conditionalFormatting sqref="P8:U8">
    <cfRule type="expression" dxfId="239" priority="12" stopIfTrue="1">
      <formula>$AG$8=TRUE</formula>
    </cfRule>
  </conditionalFormatting>
  <conditionalFormatting sqref="P15:U15">
    <cfRule type="expression" dxfId="238" priority="11" stopIfTrue="1">
      <formula>$AG$15=TRUE</formula>
    </cfRule>
  </conditionalFormatting>
  <conditionalFormatting sqref="P16:U16">
    <cfRule type="expression" dxfId="237" priority="10" stopIfTrue="1">
      <formula>$AG$16=TRUE</formula>
    </cfRule>
  </conditionalFormatting>
  <conditionalFormatting sqref="P17:U17">
    <cfRule type="expression" dxfId="236" priority="9" stopIfTrue="1">
      <formula>$AG$17=TRUE</formula>
    </cfRule>
  </conditionalFormatting>
  <conditionalFormatting sqref="P18:U18">
    <cfRule type="expression" dxfId="235" priority="8" stopIfTrue="1">
      <formula>$AG$18=TRUE</formula>
    </cfRule>
  </conditionalFormatting>
  <conditionalFormatting sqref="P19:U19">
    <cfRule type="expression" dxfId="234" priority="7" stopIfTrue="1">
      <formula>$AG$19=TRUE</formula>
    </cfRule>
  </conditionalFormatting>
  <conditionalFormatting sqref="P10:U10">
    <cfRule type="expression" dxfId="233" priority="6" stopIfTrue="1">
      <formula>$AG$10=TRUE</formula>
    </cfRule>
  </conditionalFormatting>
  <conditionalFormatting sqref="P11:U11">
    <cfRule type="expression" dxfId="232" priority="5" stopIfTrue="1">
      <formula>$AG$11=TRUE</formula>
    </cfRule>
  </conditionalFormatting>
  <conditionalFormatting sqref="P14:U14">
    <cfRule type="expression" dxfId="231" priority="4" stopIfTrue="1">
      <formula>$AG$14=TRUE</formula>
    </cfRule>
  </conditionalFormatting>
  <conditionalFormatting sqref="P9:U9">
    <cfRule type="expression" dxfId="230" priority="3" stopIfTrue="1">
      <formula>$AG$9=TRUE</formula>
    </cfRule>
  </conditionalFormatting>
  <conditionalFormatting sqref="P12:U12">
    <cfRule type="expression" dxfId="229" priority="2">
      <formula>$AG$12=TRUE</formula>
    </cfRule>
  </conditionalFormatting>
  <conditionalFormatting sqref="P13:U13">
    <cfRule type="expression" dxfId="228" priority="1">
      <formula>$AG$13=TRUE</formula>
    </cfRule>
  </conditionalFormatting>
  <dataValidations count="1">
    <dataValidation type="list" allowBlank="1" showInputMessage="1" showErrorMessage="1" sqref="U25 U27 T25:T27 M14:M19 L8:L19 M8:M11">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85018" r:id="rId11" name="Check Box 26">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85019" r:id="rId12" name="Check Box 27">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85020" r:id="rId13" name="Check Box 28">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85039" r:id="rId14" name="Check Box 47">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85040" r:id="rId15" name="Check Box 48">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85041" r:id="rId16" name="Check Box 49">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85054" r:id="rId17" name="Check Box 62">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85058" r:id="rId18" name="Check Box 66">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85059" r:id="rId19" name="Check Box 6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85060" r:id="rId20" name="Check Box 68">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mc:AlternateContent xmlns:mc="http://schemas.openxmlformats.org/markup-compatibility/2006">
          <mc:Choice Requires="x14">
            <control shapeId="85061" r:id="rId21" name="Check Box 69">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85062" r:id="rId22" name="Check Box 70">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85063" r:id="rId23" name="Check Box 71">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85064" r:id="rId24" name="Check Box 72">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85065" r:id="rId25" name="Check Box 73">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85066" r:id="rId26" name="Check Box 74">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85067" r:id="rId27" name="Check Box 75">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85068" r:id="rId28" name="Check Box 76">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85069" r:id="rId29" name="Check Box 77">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85070" r:id="rId30" name="Check Box 78">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85071" r:id="rId31" name="Check Box 79">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85072" r:id="rId32" name="Check Box 80">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O106"/>
  <sheetViews>
    <sheetView showGridLines="0" view="pageBreakPreview" topLeftCell="A22"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109</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24">
        <f>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0.41199999999999998</v>
      </c>
      <c r="W4" s="325"/>
      <c r="X4" s="324">
        <f>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0.34100000000000003</v>
      </c>
      <c r="Y4" s="325"/>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3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241" t="str">
        <f t="shared" ref="V12:V13" si="10">IF(D12="","",AD12)</f>
        <v/>
      </c>
      <c r="W12" s="241"/>
      <c r="X12" s="241" t="str">
        <f t="shared" ref="X12:X13" si="11">IF(D12="","",IF(ISERROR(AE12),"-",AE12))</f>
        <v/>
      </c>
      <c r="Y12" s="241"/>
      <c r="Z12" s="241" t="str">
        <f t="shared" ref="Z12:Z13" si="12">IF(D12="","",D12*F12*AN12)</f>
        <v/>
      </c>
      <c r="AA12" s="24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241" t="str">
        <f t="shared" si="10"/>
        <v/>
      </c>
      <c r="W13" s="241"/>
      <c r="X13" s="241" t="str">
        <f t="shared" si="11"/>
        <v/>
      </c>
      <c r="Y13" s="241"/>
      <c r="Z13" s="241" t="str">
        <f t="shared" si="12"/>
        <v/>
      </c>
      <c r="AA13" s="24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119</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143</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222"/>
      <c r="S33" s="222"/>
      <c r="T33" s="251"/>
      <c r="U33" s="251"/>
      <c r="V33" s="224" t="str">
        <f>IF(P33="","",IF(AD33=TRUE,0,P33*R33*0.034*$V$4))</f>
        <v/>
      </c>
      <c r="W33" s="224"/>
      <c r="X33" s="252" t="str">
        <f>IF(P33="","",IF(ISERROR(P33*R33*0.034*$X$4),"-",IF(AD33=TRUE,0,P33*R33*0.034*$X$4)))</f>
        <v/>
      </c>
      <c r="Y33" s="253"/>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20">IF(L34="","",L34-N34)</f>
        <v/>
      </c>
      <c r="Q34" s="186"/>
      <c r="R34" s="181"/>
      <c r="S34" s="182"/>
      <c r="T34" s="179"/>
      <c r="U34" s="180"/>
      <c r="V34" s="188" t="str">
        <f t="shared" ref="V34:V35" si="21">IF(P34="","",IF(AD34=TRUE,0,P34*R34*0.034*$V$4))</f>
        <v/>
      </c>
      <c r="W34" s="212"/>
      <c r="X34" s="188" t="str">
        <f t="shared" ref="X34:X35" si="22">IF(P34="","",IF(ISERROR(P34*R34*0.034*$X$4),"-",IF(AD34=TRUE,0,P34*R34*0.034*$X$4)))</f>
        <v/>
      </c>
      <c r="Y34" s="212"/>
      <c r="Z34" s="188" t="str">
        <f t="shared" ref="Z34:Z35" si="23">IF(R34="","",IF(AD34=TRUE,0.7*R34*P34,R34*P34))</f>
        <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118</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117</v>
      </c>
    </row>
    <row r="41" spans="2:32" s="37" customFormat="1" ht="21.9" customHeight="1" x14ac:dyDescent="0.2">
      <c r="B41" s="258" t="s">
        <v>102</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TAbIV07w8jgWQtYKms++Fv634Qk4+ittq1iQ0UuVDjlVcPwaUE21loTRu1a4DuXQhGKk8Nl+j+XUm5F/tymtLA==" saltValue="xz6YEcroW+JnMPtUMEXm2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R37:S37"/>
    <mergeCell ref="T37:U37"/>
    <mergeCell ref="V37:W37"/>
    <mergeCell ref="J38:U38"/>
    <mergeCell ref="R36:S36"/>
    <mergeCell ref="T36:U36"/>
    <mergeCell ref="V36:W36"/>
    <mergeCell ref="X37:Y37"/>
    <mergeCell ref="Z37:AA37"/>
    <mergeCell ref="T34:U34"/>
    <mergeCell ref="T35:U35"/>
    <mergeCell ref="V34:W34"/>
    <mergeCell ref="V35:W35"/>
    <mergeCell ref="X34:Y34"/>
    <mergeCell ref="X35:Y35"/>
    <mergeCell ref="Z34:AA34"/>
    <mergeCell ref="Z35:AA35"/>
    <mergeCell ref="X36:Y36"/>
    <mergeCell ref="Z36:AA36"/>
    <mergeCell ref="V31:W32"/>
    <mergeCell ref="X31:Y32"/>
    <mergeCell ref="Z31:AA32"/>
    <mergeCell ref="X33:Y33"/>
    <mergeCell ref="V27:W27"/>
    <mergeCell ref="X27:Y27"/>
    <mergeCell ref="Z27:AA27"/>
    <mergeCell ref="V28:W28"/>
    <mergeCell ref="X28:Y28"/>
    <mergeCell ref="Z28:AA28"/>
    <mergeCell ref="Z33:AA33"/>
    <mergeCell ref="V33:W33"/>
    <mergeCell ref="AN21:AO21"/>
    <mergeCell ref="N23:Q23"/>
    <mergeCell ref="R23:S24"/>
    <mergeCell ref="T23:U24"/>
    <mergeCell ref="V23:W24"/>
    <mergeCell ref="X23:Y24"/>
    <mergeCell ref="Z23:AA24"/>
    <mergeCell ref="AN23:AO23"/>
    <mergeCell ref="N24:O24"/>
    <mergeCell ref="P24:Q24"/>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B15:C15"/>
    <mergeCell ref="D15:E15"/>
    <mergeCell ref="F15:G15"/>
    <mergeCell ref="H15:I15"/>
    <mergeCell ref="J15:K15"/>
    <mergeCell ref="L15:M15"/>
    <mergeCell ref="N15:O15"/>
    <mergeCell ref="P15:Q15"/>
    <mergeCell ref="R15:S15"/>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J10:K10"/>
    <mergeCell ref="L10:M10"/>
    <mergeCell ref="N10:O10"/>
    <mergeCell ref="P10:Q10"/>
    <mergeCell ref="V9:W9"/>
    <mergeCell ref="X9:Y9"/>
    <mergeCell ref="Z9:AA9"/>
    <mergeCell ref="B8:C8"/>
    <mergeCell ref="D8:E8"/>
    <mergeCell ref="F8:G8"/>
    <mergeCell ref="H8:I8"/>
    <mergeCell ref="J8:K8"/>
    <mergeCell ref="L8:M8"/>
    <mergeCell ref="R8:S8"/>
    <mergeCell ref="T8:U8"/>
    <mergeCell ref="B9:C9"/>
    <mergeCell ref="D9:E9"/>
    <mergeCell ref="F9:G9"/>
    <mergeCell ref="H9:I9"/>
    <mergeCell ref="J9:K9"/>
    <mergeCell ref="L9:M9"/>
    <mergeCell ref="N9:O9"/>
    <mergeCell ref="P9:Q9"/>
    <mergeCell ref="R9:S9"/>
    <mergeCell ref="V8:W8"/>
    <mergeCell ref="X8:Y8"/>
    <mergeCell ref="Z8:AA8"/>
    <mergeCell ref="N8:O8"/>
    <mergeCell ref="AD6:AE6"/>
    <mergeCell ref="AH6:AI6"/>
    <mergeCell ref="AK6:AL6"/>
    <mergeCell ref="AN6:AO6"/>
    <mergeCell ref="P7:Q7"/>
    <mergeCell ref="R7:S7"/>
    <mergeCell ref="T7:U7"/>
    <mergeCell ref="V5:W7"/>
    <mergeCell ref="X5:Y7"/>
    <mergeCell ref="Z5:AA7"/>
    <mergeCell ref="B2:AA2"/>
    <mergeCell ref="R4:U4"/>
    <mergeCell ref="V4:W4"/>
    <mergeCell ref="X4:Y4"/>
    <mergeCell ref="B5:C7"/>
    <mergeCell ref="D5:G5"/>
    <mergeCell ref="H5:I7"/>
    <mergeCell ref="J5:K7"/>
    <mergeCell ref="L5:M7"/>
    <mergeCell ref="N5:U5"/>
    <mergeCell ref="D6:E7"/>
    <mergeCell ref="F6:G7"/>
    <mergeCell ref="N6:O7"/>
    <mergeCell ref="P6:U6"/>
    <mergeCell ref="P8:Q8"/>
    <mergeCell ref="T10:U10"/>
    <mergeCell ref="T14:U14"/>
    <mergeCell ref="T16:U16"/>
    <mergeCell ref="N25:O25"/>
    <mergeCell ref="P25:Q25"/>
    <mergeCell ref="R25:S25"/>
    <mergeCell ref="T25:U25"/>
    <mergeCell ref="J23:M24"/>
    <mergeCell ref="J25:M25"/>
    <mergeCell ref="J19:K19"/>
    <mergeCell ref="T19:U19"/>
    <mergeCell ref="L36:M36"/>
    <mergeCell ref="N36:O36"/>
    <mergeCell ref="P36:Q36"/>
    <mergeCell ref="J36:K36"/>
    <mergeCell ref="J33:K33"/>
    <mergeCell ref="R10:S10"/>
    <mergeCell ref="T9:U9"/>
    <mergeCell ref="D16:E16"/>
    <mergeCell ref="X13:Y13"/>
    <mergeCell ref="L12:M12"/>
    <mergeCell ref="L13:M13"/>
    <mergeCell ref="P12:Q12"/>
    <mergeCell ref="P13:Q13"/>
    <mergeCell ref="R12:S12"/>
    <mergeCell ref="R13:S13"/>
    <mergeCell ref="T12:U12"/>
    <mergeCell ref="T13:U13"/>
    <mergeCell ref="V12:W12"/>
    <mergeCell ref="X12:Y12"/>
    <mergeCell ref="R34:S34"/>
    <mergeCell ref="R35:S35"/>
    <mergeCell ref="H19:I19"/>
    <mergeCell ref="J34:K34"/>
    <mergeCell ref="J35:K35"/>
    <mergeCell ref="Z13:AA13"/>
    <mergeCell ref="V26:W26"/>
    <mergeCell ref="X26:Y26"/>
    <mergeCell ref="Z26:AA26"/>
    <mergeCell ref="V14:W14"/>
    <mergeCell ref="X14:Y14"/>
    <mergeCell ref="Z14:AA14"/>
    <mergeCell ref="X19:Y19"/>
    <mergeCell ref="Z19:AA19"/>
    <mergeCell ref="V20:W20"/>
    <mergeCell ref="X20:Y20"/>
    <mergeCell ref="Z20:AA20"/>
    <mergeCell ref="V25:W25"/>
    <mergeCell ref="X25:Y25"/>
    <mergeCell ref="Z25:AA25"/>
    <mergeCell ref="V15:W15"/>
    <mergeCell ref="X15:Y15"/>
    <mergeCell ref="Z15:AA15"/>
    <mergeCell ref="V19:W19"/>
    <mergeCell ref="V13:W13"/>
    <mergeCell ref="B12:C12"/>
    <mergeCell ref="B13:C13"/>
    <mergeCell ref="D12:E12"/>
    <mergeCell ref="D13:E13"/>
    <mergeCell ref="F12:G12"/>
    <mergeCell ref="F13:G13"/>
    <mergeCell ref="H12:I12"/>
    <mergeCell ref="H13:I13"/>
    <mergeCell ref="J12:K12"/>
    <mergeCell ref="J13:K13"/>
    <mergeCell ref="Z12:AA12"/>
    <mergeCell ref="J26:M26"/>
    <mergeCell ref="N26:O26"/>
    <mergeCell ref="P26:Q26"/>
    <mergeCell ref="R26:S26"/>
    <mergeCell ref="T26:U26"/>
    <mergeCell ref="N12:O12"/>
    <mergeCell ref="N13:O13"/>
    <mergeCell ref="L14:M14"/>
    <mergeCell ref="N14:O14"/>
    <mergeCell ref="P14:Q14"/>
    <mergeCell ref="R14:S14"/>
    <mergeCell ref="N16:O16"/>
    <mergeCell ref="P16:Q16"/>
    <mergeCell ref="R16:S16"/>
    <mergeCell ref="T15:U15"/>
    <mergeCell ref="B20:U20"/>
    <mergeCell ref="L19:M19"/>
    <mergeCell ref="N19:O19"/>
    <mergeCell ref="P19:Q19"/>
    <mergeCell ref="R19:S19"/>
    <mergeCell ref="B19:C19"/>
    <mergeCell ref="D19:E19"/>
    <mergeCell ref="F19:G19"/>
    <mergeCell ref="L34:M34"/>
    <mergeCell ref="L35:M35"/>
    <mergeCell ref="N34:O34"/>
    <mergeCell ref="N35:O35"/>
    <mergeCell ref="P34:Q34"/>
    <mergeCell ref="P35:Q35"/>
    <mergeCell ref="J27:M27"/>
    <mergeCell ref="J31:K32"/>
    <mergeCell ref="J28:U28"/>
    <mergeCell ref="N27:O27"/>
    <mergeCell ref="P27:Q27"/>
    <mergeCell ref="R27:S27"/>
    <mergeCell ref="T27:U27"/>
    <mergeCell ref="L33:M33"/>
    <mergeCell ref="N33:O33"/>
    <mergeCell ref="P33:Q33"/>
    <mergeCell ref="L31:M32"/>
    <mergeCell ref="N31:O32"/>
    <mergeCell ref="P31:Q32"/>
    <mergeCell ref="R31:S32"/>
    <mergeCell ref="T31:U32"/>
    <mergeCell ref="R33:S33"/>
    <mergeCell ref="T33:U33"/>
  </mergeCells>
  <phoneticPr fontId="2"/>
  <conditionalFormatting sqref="V20:W20">
    <cfRule type="expression" dxfId="227" priority="48" stopIfTrue="1">
      <formula>$V$20=0</formula>
    </cfRule>
  </conditionalFormatting>
  <conditionalFormatting sqref="X20:Y20">
    <cfRule type="expression" dxfId="226" priority="47" stopIfTrue="1">
      <formula>$X$20=0</formula>
    </cfRule>
  </conditionalFormatting>
  <conditionalFormatting sqref="Z20:AA20">
    <cfRule type="expression" dxfId="225" priority="46" stopIfTrue="1">
      <formula>$Z$20=0</formula>
    </cfRule>
  </conditionalFormatting>
  <conditionalFormatting sqref="V28:W28">
    <cfRule type="expression" dxfId="224" priority="45" stopIfTrue="1">
      <formula>$V$28:$W$28=0</formula>
    </cfRule>
  </conditionalFormatting>
  <conditionalFormatting sqref="V38:W38">
    <cfRule type="expression" dxfId="223" priority="44" stopIfTrue="1">
      <formula>$V$38:$W$38=0</formula>
    </cfRule>
  </conditionalFormatting>
  <conditionalFormatting sqref="Y41:Z41">
    <cfRule type="expression" dxfId="222" priority="43" stopIfTrue="1">
      <formula>$Y$41=0</formula>
    </cfRule>
  </conditionalFormatting>
  <conditionalFormatting sqref="Q41:R41">
    <cfRule type="expression" dxfId="221" priority="42" stopIfTrue="1">
      <formula>$Q$41=0</formula>
    </cfRule>
  </conditionalFormatting>
  <conditionalFormatting sqref="U41:V41">
    <cfRule type="expression" dxfId="220" priority="41" stopIfTrue="1">
      <formula>$U$41=0</formula>
    </cfRule>
  </conditionalFormatting>
  <conditionalFormatting sqref="L41:N41">
    <cfRule type="expression" dxfId="219" priority="40" stopIfTrue="1">
      <formula>$L$41=0</formula>
    </cfRule>
  </conditionalFormatting>
  <conditionalFormatting sqref="X8:Y8">
    <cfRule type="expression" dxfId="218" priority="38" stopIfTrue="1">
      <formula>#VALUE!</formula>
    </cfRule>
    <cfRule type="expression" dxfId="217" priority="39" stopIfTrue="1">
      <formula>#VALUE!</formula>
    </cfRule>
  </conditionalFormatting>
  <conditionalFormatting sqref="X19:Y19">
    <cfRule type="expression" dxfId="216" priority="37" stopIfTrue="1">
      <formula>#VALUE!</formula>
    </cfRule>
  </conditionalFormatting>
  <conditionalFormatting sqref="X28:Y28">
    <cfRule type="expression" dxfId="215" priority="26" stopIfTrue="1">
      <formula>$X$28:$Y$28=0</formula>
    </cfRule>
  </conditionalFormatting>
  <conditionalFormatting sqref="Z28:AA28">
    <cfRule type="expression" dxfId="214" priority="25" stopIfTrue="1">
      <formula>$Z$28:$AA$28=0</formula>
    </cfRule>
  </conditionalFormatting>
  <conditionalFormatting sqref="X38:Y38">
    <cfRule type="expression" dxfId="213" priority="24" stopIfTrue="1">
      <formula>$X$38:$Y$38=0</formula>
    </cfRule>
  </conditionalFormatting>
  <conditionalFormatting sqref="Z38:AA38">
    <cfRule type="expression" dxfId="212" priority="23" stopIfTrue="1">
      <formula>$Z$38:$AA$38=0</formula>
    </cfRule>
  </conditionalFormatting>
  <conditionalFormatting sqref="P8:U8">
    <cfRule type="expression" dxfId="211" priority="12" stopIfTrue="1">
      <formula>$AG$8=TRUE</formula>
    </cfRule>
  </conditionalFormatting>
  <conditionalFormatting sqref="P15:U15">
    <cfRule type="expression" dxfId="210" priority="11" stopIfTrue="1">
      <formula>$AG$15=TRUE</formula>
    </cfRule>
  </conditionalFormatting>
  <conditionalFormatting sqref="P16:U16">
    <cfRule type="expression" dxfId="209" priority="10" stopIfTrue="1">
      <formula>$AG$16=TRUE</formula>
    </cfRule>
  </conditionalFormatting>
  <conditionalFormatting sqref="P17:U17">
    <cfRule type="expression" dxfId="208" priority="9" stopIfTrue="1">
      <formula>$AG$17=TRUE</formula>
    </cfRule>
  </conditionalFormatting>
  <conditionalFormatting sqref="P18:U18">
    <cfRule type="expression" dxfId="207" priority="8" stopIfTrue="1">
      <formula>$AG$18=TRUE</formula>
    </cfRule>
  </conditionalFormatting>
  <conditionalFormatting sqref="P19:U19">
    <cfRule type="expression" dxfId="206" priority="7" stopIfTrue="1">
      <formula>$AG$19=TRUE</formula>
    </cfRule>
  </conditionalFormatting>
  <conditionalFormatting sqref="P10:U10">
    <cfRule type="expression" dxfId="205" priority="6" stopIfTrue="1">
      <formula>$AG$10=TRUE</formula>
    </cfRule>
  </conditionalFormatting>
  <conditionalFormatting sqref="P11:U11">
    <cfRule type="expression" dxfId="204" priority="5" stopIfTrue="1">
      <formula>$AG$11=TRUE</formula>
    </cfRule>
  </conditionalFormatting>
  <conditionalFormatting sqref="P14:U14">
    <cfRule type="expression" dxfId="203" priority="4" stopIfTrue="1">
      <formula>$AG$14=TRUE</formula>
    </cfRule>
  </conditionalFormatting>
  <conditionalFormatting sqref="P9:U9">
    <cfRule type="expression" dxfId="202" priority="3" stopIfTrue="1">
      <formula>$AG$9=TRUE</formula>
    </cfRule>
  </conditionalFormatting>
  <conditionalFormatting sqref="P12:U12">
    <cfRule type="expression" dxfId="201" priority="2">
      <formula>$AG$12=TRUE</formula>
    </cfRule>
  </conditionalFormatting>
  <conditionalFormatting sqref="P13:U13">
    <cfRule type="expression" dxfId="200"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98326"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98327"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98328"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98337"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98339"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98340"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98341"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O106"/>
  <sheetViews>
    <sheetView showGridLines="0" view="pageBreakPreview" topLeftCell="A22"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110</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54">
        <f>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0.503</v>
      </c>
      <c r="W4" s="355"/>
      <c r="X4" s="354">
        <f>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0.55400000000000005</v>
      </c>
      <c r="Y4" s="355"/>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f>IF(共通条件・結果!$AA$7="８地域",H9,IF(AO9="FALSE",H9,IF(L9="風除室",1/((1/H9)+0.1),0.5*H9+0.5*(1/((1/H9)+AO9)))))</f>
        <v>0</v>
      </c>
      <c r="AO9" s="39" t="str">
        <f t="shared" si="1"/>
        <v>FALSE</v>
      </c>
    </row>
    <row r="10" spans="2:41" s="37" customFormat="1" ht="21.9" customHeight="1" x14ac:dyDescent="0.2">
      <c r="B10" s="183"/>
      <c r="C10" s="297"/>
      <c r="D10" s="298"/>
      <c r="E10" s="299"/>
      <c r="F10" s="299"/>
      <c r="G10" s="300"/>
      <c r="H10" s="213"/>
      <c r="I10" s="213"/>
      <c r="J10" s="213"/>
      <c r="K10" s="213"/>
      <c r="L10" s="235"/>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f>IF(共通条件・結果!$AA$7="８地域",H10,IF(AO10="FALSE",H10,IF(L10="風除室",1/((1/H10)+0.1),0.5*H10+0.5*(1/((1/H10)+AO10)))))</f>
        <v>0</v>
      </c>
      <c r="AO10" s="39" t="str">
        <f t="shared" si="1"/>
        <v>FALSE</v>
      </c>
    </row>
    <row r="11" spans="2:41" s="37" customFormat="1" ht="21.9" customHeight="1" x14ac:dyDescent="0.2">
      <c r="B11" s="183"/>
      <c r="C11" s="297"/>
      <c r="D11" s="298"/>
      <c r="E11" s="299"/>
      <c r="F11" s="299"/>
      <c r="G11" s="300"/>
      <c r="H11" s="213"/>
      <c r="I11" s="213"/>
      <c r="J11" s="213"/>
      <c r="K11" s="213"/>
      <c r="L11" s="235"/>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f>IF(共通条件・結果!$AA$7="８地域",H11,IF(AO11="FALSE",H11,IF(L11="風除室",1/((1/H11)+0.1),0.5*H11+0.5*(1/((1/H11)+AO11)))))</f>
        <v>0</v>
      </c>
      <c r="AO11" s="39" t="str">
        <f t="shared" si="1"/>
        <v>FALSE</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10">IF(D12="","",AD12)</f>
        <v/>
      </c>
      <c r="W12" s="212"/>
      <c r="X12" s="188" t="str">
        <f t="shared" ref="X12:X13" si="11">IF(D12="","",IF(ISERROR(AE12),"-",AE12))</f>
        <v/>
      </c>
      <c r="Y12" s="212"/>
      <c r="Z12" s="188" t="str">
        <f t="shared" ref="Z12:Z13" si="12">IF(D12="","",D12*F12*AN12)</f>
        <v/>
      </c>
      <c r="AA12" s="189"/>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10"/>
        <v/>
      </c>
      <c r="W13" s="212"/>
      <c r="X13" s="188" t="str">
        <f t="shared" si="11"/>
        <v/>
      </c>
      <c r="Y13" s="212"/>
      <c r="Z13" s="188" t="str">
        <f t="shared" si="12"/>
        <v/>
      </c>
      <c r="AA13" s="189"/>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297"/>
      <c r="D14" s="298"/>
      <c r="E14" s="299"/>
      <c r="F14" s="299"/>
      <c r="G14" s="300"/>
      <c r="H14" s="213"/>
      <c r="I14" s="213"/>
      <c r="J14" s="213"/>
      <c r="K14" s="213"/>
      <c r="L14" s="235"/>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f>IF(共通条件・結果!$AA$7="８地域",H14,IF(AO14="FALSE",H14,IF(L14="風除室",1/((1/H14)+0.1),0.5*H14+0.5*(1/((1/H14)+AO14)))))</f>
        <v>0</v>
      </c>
      <c r="AO14" s="39" t="str">
        <f t="shared" si="1"/>
        <v>FALSE</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120</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144</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256</v>
      </c>
      <c r="K33" s="346"/>
      <c r="L33" s="247">
        <f>6.3*(2.4+0.438+2.4+0.043+0.105+0.02)</f>
        <v>34.0578</v>
      </c>
      <c r="M33" s="248"/>
      <c r="N33" s="247">
        <v>0</v>
      </c>
      <c r="O33" s="248"/>
      <c r="P33" s="249">
        <f>IF(L33="","",L33-N33)</f>
        <v>34.0578</v>
      </c>
      <c r="Q33" s="250"/>
      <c r="R33" s="222">
        <v>0.23555458027078999</v>
      </c>
      <c r="S33" s="222"/>
      <c r="T33" s="251"/>
      <c r="U33" s="251"/>
      <c r="V33" s="241">
        <f>IF(P33="","",IF(AD33=TRUE,0,P33*R33*0.034*$V$4))</f>
        <v>0.13720029534705327</v>
      </c>
      <c r="W33" s="241"/>
      <c r="X33" s="188">
        <f>IF(P33="","",IF(ISERROR(P33*R33*0.034*$X$4),"-",IF(AD33=TRUE,0,P33*R33*0.034*$X$4)))</f>
        <v>0.15111125968641653</v>
      </c>
      <c r="Y33" s="212"/>
      <c r="Z33" s="224">
        <f>IF(R33="","",IF(AD33=TRUE,0.7*R33*P33,R33*P33))</f>
        <v>8.0224707839465115</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t="s">
        <v>262</v>
      </c>
      <c r="K34" s="184"/>
      <c r="L34" s="181">
        <f>0.5*6.3</f>
        <v>3.15</v>
      </c>
      <c r="M34" s="182"/>
      <c r="N34" s="181">
        <v>0</v>
      </c>
      <c r="O34" s="182"/>
      <c r="P34" s="185">
        <f t="shared" ref="P34:P35" si="20">IF(L34="","",L34-N34)</f>
        <v>3.15</v>
      </c>
      <c r="Q34" s="186"/>
      <c r="R34" s="181">
        <v>0.26183640835258143</v>
      </c>
      <c r="S34" s="182"/>
      <c r="T34" s="179"/>
      <c r="U34" s="180"/>
      <c r="V34" s="188">
        <f t="shared" ref="V34:V35" si="21">IF(P34="","",IF(AD34=TRUE,0,P34*R34*0.034*$V$4))</f>
        <v>1.4105467705284421E-2</v>
      </c>
      <c r="W34" s="212"/>
      <c r="X34" s="188">
        <f t="shared" ref="X34:X35" si="22">IF(P34="","",IF(ISERROR(P34*R34*0.034*$X$4),"-",IF(AD34=TRUE,0,P34*R34*0.034*$X$4)))</f>
        <v>1.5535644351347057E-2</v>
      </c>
      <c r="Y34" s="212"/>
      <c r="Z34" s="188">
        <f t="shared" ref="Z34:Z35" si="23">IF(R34="","",IF(AD34=TRUE,0.7*R34*P34,R34*P34))</f>
        <v>0.82478468631063151</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121</v>
      </c>
      <c r="K38" s="230"/>
      <c r="L38" s="230"/>
      <c r="M38" s="230"/>
      <c r="N38" s="230"/>
      <c r="O38" s="230"/>
      <c r="P38" s="230"/>
      <c r="Q38" s="230"/>
      <c r="R38" s="230"/>
      <c r="S38" s="230"/>
      <c r="T38" s="230"/>
      <c r="U38" s="231"/>
      <c r="V38" s="218">
        <f>SUM(V33:W37)</f>
        <v>0.1513057630523377</v>
      </c>
      <c r="W38" s="218"/>
      <c r="X38" s="218">
        <f>SUM(X33:Y37)</f>
        <v>0.16664690403776358</v>
      </c>
      <c r="Y38" s="218"/>
      <c r="Z38" s="218">
        <f>SUM(Z33:AA37)</f>
        <v>8.8472554702571422</v>
      </c>
      <c r="AA38" s="219"/>
    </row>
    <row r="39" spans="2:32" s="37" customFormat="1" ht="9.9" customHeight="1" x14ac:dyDescent="0.2"/>
    <row r="40" spans="2:32" s="37" customFormat="1" ht="21.9" customHeight="1" thickBot="1" x14ac:dyDescent="0.25">
      <c r="B40" s="38" t="s">
        <v>122</v>
      </c>
    </row>
    <row r="41" spans="2:32" s="37" customFormat="1" ht="21.9" customHeight="1" x14ac:dyDescent="0.2">
      <c r="B41" s="258" t="s">
        <v>103</v>
      </c>
      <c r="C41" s="259"/>
      <c r="D41" s="268" t="s">
        <v>56</v>
      </c>
      <c r="E41" s="269"/>
      <c r="F41" s="269"/>
      <c r="G41" s="269"/>
      <c r="H41" s="269"/>
      <c r="I41" s="269"/>
      <c r="J41" s="270"/>
      <c r="K41" s="42"/>
      <c r="L41" s="264">
        <f>Q41+U41+Y41</f>
        <v>37.207799999999999</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37.207799999999999</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0.1513057630523377</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0.16664690403776358</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8.8472554702571422</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fuArhLarp9K6Ii+hsZnQ/WVtuqBFJnuBA+/S8vpDOs/Q1YvEkVWx2S1Omty6/+oARD5GQuiMgbWrZLEBxyJjDg==" saltValue="C79Y0yDHYj60KlBb/DzqdA=="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N26:O26"/>
    <mergeCell ref="P26:Q26"/>
    <mergeCell ref="J26:M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P34:Q34"/>
    <mergeCell ref="P35:Q35"/>
    <mergeCell ref="R34:S34"/>
    <mergeCell ref="R35:S35"/>
    <mergeCell ref="V34:W34"/>
    <mergeCell ref="V35:W35"/>
    <mergeCell ref="T34:U34"/>
    <mergeCell ref="T35:U35"/>
  </mergeCells>
  <phoneticPr fontId="2"/>
  <conditionalFormatting sqref="V20:W20">
    <cfRule type="expression" dxfId="199" priority="51" stopIfTrue="1">
      <formula>$V$20=0</formula>
    </cfRule>
  </conditionalFormatting>
  <conditionalFormatting sqref="X20:Y20">
    <cfRule type="expression" dxfId="198" priority="50" stopIfTrue="1">
      <formula>$X$20=0</formula>
    </cfRule>
  </conditionalFormatting>
  <conditionalFormatting sqref="Z20:AA20">
    <cfRule type="expression" dxfId="197" priority="49" stopIfTrue="1">
      <formula>$Z$20=0</formula>
    </cfRule>
  </conditionalFormatting>
  <conditionalFormatting sqref="V28:W28">
    <cfRule type="expression" dxfId="196" priority="48" stopIfTrue="1">
      <formula>$V$28:$W$28=0</formula>
    </cfRule>
  </conditionalFormatting>
  <conditionalFormatting sqref="V38:W38">
    <cfRule type="expression" dxfId="195" priority="47" stopIfTrue="1">
      <formula>$V$38:$W$38=0</formula>
    </cfRule>
  </conditionalFormatting>
  <conditionalFormatting sqref="Y41:Z41">
    <cfRule type="expression" dxfId="194" priority="46" stopIfTrue="1">
      <formula>$Y$41=0</formula>
    </cfRule>
  </conditionalFormatting>
  <conditionalFormatting sqref="Q41:R41">
    <cfRule type="expression" dxfId="193" priority="45" stopIfTrue="1">
      <formula>$Q$41=0</formula>
    </cfRule>
  </conditionalFormatting>
  <conditionalFormatting sqref="U41:V41">
    <cfRule type="expression" dxfId="192" priority="44" stopIfTrue="1">
      <formula>$U$41=0</formula>
    </cfRule>
  </conditionalFormatting>
  <conditionalFormatting sqref="L41:N41">
    <cfRule type="expression" dxfId="191" priority="43" stopIfTrue="1">
      <formula>$L$41=0</formula>
    </cfRule>
  </conditionalFormatting>
  <conditionalFormatting sqref="X8:Y8">
    <cfRule type="expression" dxfId="190" priority="41" stopIfTrue="1">
      <formula>#VALUE!</formula>
    </cfRule>
    <cfRule type="expression" dxfId="189" priority="42" stopIfTrue="1">
      <formula>#VALUE!</formula>
    </cfRule>
  </conditionalFormatting>
  <conditionalFormatting sqref="X19:Y19">
    <cfRule type="expression" dxfId="188" priority="40" stopIfTrue="1">
      <formula>#VALUE!</formula>
    </cfRule>
  </conditionalFormatting>
  <conditionalFormatting sqref="X8:Y8">
    <cfRule type="expression" dxfId="187" priority="28" stopIfTrue="1">
      <formula>#VALUE!</formula>
    </cfRule>
    <cfRule type="expression" dxfId="186" priority="29" stopIfTrue="1">
      <formula>#VALUE!</formula>
    </cfRule>
  </conditionalFormatting>
  <conditionalFormatting sqref="X19:Y19">
    <cfRule type="expression" dxfId="185" priority="27" stopIfTrue="1">
      <formula>#VALUE!</formula>
    </cfRule>
  </conditionalFormatting>
  <conditionalFormatting sqref="X28:Y28">
    <cfRule type="expression" dxfId="184" priority="26" stopIfTrue="1">
      <formula>$X$28:$Y$28=0</formula>
    </cfRule>
  </conditionalFormatting>
  <conditionalFormatting sqref="Z28:AA28">
    <cfRule type="expression" dxfId="183" priority="25" stopIfTrue="1">
      <formula>$Z$28:$AA$28=0</formula>
    </cfRule>
  </conditionalFormatting>
  <conditionalFormatting sqref="X38:Y38">
    <cfRule type="expression" dxfId="182" priority="24" stopIfTrue="1">
      <formula>$V$38:$W$38=0</formula>
    </cfRule>
  </conditionalFormatting>
  <conditionalFormatting sqref="Z38:AA38">
    <cfRule type="expression" dxfId="181" priority="23" stopIfTrue="1">
      <formula>$Z$38:$AA$38=0</formula>
    </cfRule>
  </conditionalFormatting>
  <conditionalFormatting sqref="P8:U8">
    <cfRule type="expression" dxfId="180" priority="12" stopIfTrue="1">
      <formula>$AG$8=TRUE</formula>
    </cfRule>
  </conditionalFormatting>
  <conditionalFormatting sqref="P15:U15">
    <cfRule type="expression" dxfId="179" priority="11" stopIfTrue="1">
      <formula>$AG$15=TRUE</formula>
    </cfRule>
  </conditionalFormatting>
  <conditionalFormatting sqref="P16:U16">
    <cfRule type="expression" dxfId="178" priority="10" stopIfTrue="1">
      <formula>$AG$16=TRUE</formula>
    </cfRule>
  </conditionalFormatting>
  <conditionalFormatting sqref="P17:U17">
    <cfRule type="expression" dxfId="177" priority="9" stopIfTrue="1">
      <formula>$AG$17=TRUE</formula>
    </cfRule>
  </conditionalFormatting>
  <conditionalFormatting sqref="P18:U18">
    <cfRule type="expression" dxfId="176" priority="8" stopIfTrue="1">
      <formula>$AG$18=TRUE</formula>
    </cfRule>
  </conditionalFormatting>
  <conditionalFormatting sqref="P19:U19">
    <cfRule type="expression" dxfId="175" priority="7" stopIfTrue="1">
      <formula>$AG$19=TRUE</formula>
    </cfRule>
  </conditionalFormatting>
  <conditionalFormatting sqref="P10:U10">
    <cfRule type="expression" dxfId="174" priority="6" stopIfTrue="1">
      <formula>$AG$10=TRUE</formula>
    </cfRule>
  </conditionalFormatting>
  <conditionalFormatting sqref="P11:U11">
    <cfRule type="expression" dxfId="173" priority="5" stopIfTrue="1">
      <formula>$AG$11=TRUE</formula>
    </cfRule>
  </conditionalFormatting>
  <conditionalFormatting sqref="P14:U14">
    <cfRule type="expression" dxfId="172" priority="4" stopIfTrue="1">
      <formula>$AG$14=TRUE</formula>
    </cfRule>
  </conditionalFormatting>
  <conditionalFormatting sqref="P9:U9">
    <cfRule type="expression" dxfId="171" priority="3" stopIfTrue="1">
      <formula>$AG$9=TRUE</formula>
    </cfRule>
  </conditionalFormatting>
  <conditionalFormatting sqref="P12:U12">
    <cfRule type="expression" dxfId="170" priority="2">
      <formula>$AG$12=TRUE</formula>
    </cfRule>
  </conditionalFormatting>
  <conditionalFormatting sqref="P13:U13">
    <cfRule type="expression" dxfId="169"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99350"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99351"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99352"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99362" r:id="rId17" name="Check Box 34">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99363"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99365" r:id="rId19" name="Check Box 3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99366" r:id="rId20" name="Check Box 38">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O106"/>
  <sheetViews>
    <sheetView showGridLines="0" view="pageBreakPreview" topLeftCell="A25"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111</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58">
        <f>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0.52700000000000002</v>
      </c>
      <c r="W4" s="359"/>
      <c r="X4" s="360">
        <f>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0.76600000000000001</v>
      </c>
      <c r="Y4" s="361"/>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9">IF(D12="","",AD12)</f>
        <v/>
      </c>
      <c r="W12" s="212"/>
      <c r="X12" s="188" t="str">
        <f t="shared" ref="X12:X13" si="10">IF(D12="","",IF(ISERROR(AE12),"-",AE12))</f>
        <v/>
      </c>
      <c r="Y12" s="212"/>
      <c r="Z12" s="188" t="str">
        <f t="shared" ref="Z12:Z13" si="11">IF(D12="","",D12*F12*AN12)</f>
        <v/>
      </c>
      <c r="AA12" s="189"/>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9"/>
        <v/>
      </c>
      <c r="W13" s="212"/>
      <c r="X13" s="188" t="str">
        <f t="shared" si="10"/>
        <v/>
      </c>
      <c r="Y13" s="212"/>
      <c r="Z13" s="188" t="str">
        <f t="shared" si="11"/>
        <v/>
      </c>
      <c r="AA13" s="189"/>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29" t="s">
        <v>123</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145</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362"/>
      <c r="S33" s="362"/>
      <c r="T33" s="251"/>
      <c r="U33" s="251"/>
      <c r="V33" s="241" t="str">
        <f>IF(P33="","",IF(AD33=TRUE,0,P33*R33*0.034*$V$4))</f>
        <v/>
      </c>
      <c r="W33" s="241"/>
      <c r="X33" s="188" t="str">
        <f>IF(P33="","",IF(ISERROR(P33*R33*0.034*$X$4),"-",IF(AD33=TRUE,0,P33*R33*0.034*$X$4)))</f>
        <v/>
      </c>
      <c r="Y33" s="212"/>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18">IF(L34="","",L34-N34)</f>
        <v/>
      </c>
      <c r="Q34" s="186"/>
      <c r="R34" s="181"/>
      <c r="S34" s="182"/>
      <c r="T34" s="179"/>
      <c r="U34" s="180"/>
      <c r="V34" s="188" t="str">
        <f t="shared" ref="V34:V35" si="19">IF(P34="","",IF(AD34=TRUE,0,P34*R34*0.034*$V$4))</f>
        <v/>
      </c>
      <c r="W34" s="212"/>
      <c r="X34" s="188" t="str">
        <f t="shared" ref="X34:X35" si="20">IF(P34="","",IF(ISERROR(P34*R34*0.034*$X$4),"-",IF(AD34=TRUE,0,P34*R34*0.034*$X$4)))</f>
        <v/>
      </c>
      <c r="Y34" s="212"/>
      <c r="Z34" s="188" t="str">
        <f t="shared" ref="Z34:Z35" si="21">IF(R34="","",IF(AD34=TRUE,0.7*R34*P34,R34*P34))</f>
        <v/>
      </c>
      <c r="AA34" s="189"/>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18"/>
        <v/>
      </c>
      <c r="Q35" s="186"/>
      <c r="R35" s="181"/>
      <c r="S35" s="182"/>
      <c r="T35" s="356"/>
      <c r="U35" s="357"/>
      <c r="V35" s="188" t="str">
        <f t="shared" si="19"/>
        <v/>
      </c>
      <c r="W35" s="212"/>
      <c r="X35" s="188" t="str">
        <f t="shared" si="20"/>
        <v/>
      </c>
      <c r="Y35" s="212"/>
      <c r="Z35" s="188" t="str">
        <f t="shared" si="21"/>
        <v/>
      </c>
      <c r="AA35" s="189"/>
      <c r="AD35" s="40" t="b">
        <v>0</v>
      </c>
      <c r="AE35" s="40">
        <f t="shared" si="22"/>
        <v>1</v>
      </c>
      <c r="AF35" s="40" t="str">
        <f t="shared" si="23"/>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124</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125</v>
      </c>
    </row>
    <row r="41" spans="2:32" s="37" customFormat="1" ht="21.9" customHeight="1" x14ac:dyDescent="0.2">
      <c r="B41" s="258" t="s">
        <v>104</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dzFtL4KhkBZ8HofTFLgdF3eafhoGZWgs5F66RxjVsvdor7rUKVgZ7EI05PaDbhLuOf/ACXC2tKaWbKOHP2CFsQ==" saltValue="u6GhgUWgeRBjJ2LPsUZ9Bg=="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P34:Q34"/>
    <mergeCell ref="P35:Q35"/>
    <mergeCell ref="R34:S34"/>
    <mergeCell ref="R35:S35"/>
    <mergeCell ref="V34:W34"/>
    <mergeCell ref="V35:W35"/>
    <mergeCell ref="T34:U34"/>
    <mergeCell ref="T35:U35"/>
  </mergeCells>
  <phoneticPr fontId="2"/>
  <conditionalFormatting sqref="V20:W20">
    <cfRule type="expression" dxfId="168" priority="51" stopIfTrue="1">
      <formula>$V$20=0</formula>
    </cfRule>
  </conditionalFormatting>
  <conditionalFormatting sqref="X20:Y20">
    <cfRule type="expression" dxfId="167" priority="50" stopIfTrue="1">
      <formula>$X$20=0</formula>
    </cfRule>
  </conditionalFormatting>
  <conditionalFormatting sqref="Z20:AA20">
    <cfRule type="expression" dxfId="166" priority="49" stopIfTrue="1">
      <formula>$Z$20=0</formula>
    </cfRule>
  </conditionalFormatting>
  <conditionalFormatting sqref="V28:W28">
    <cfRule type="expression" dxfId="165" priority="48" stopIfTrue="1">
      <formula>$V$28:$W$28=0</formula>
    </cfRule>
  </conditionalFormatting>
  <conditionalFormatting sqref="V38:W38">
    <cfRule type="expression" dxfId="164" priority="47" stopIfTrue="1">
      <formula>$V$38:$W$38=0</formula>
    </cfRule>
  </conditionalFormatting>
  <conditionalFormatting sqref="Y41:Z41">
    <cfRule type="expression" dxfId="163" priority="46" stopIfTrue="1">
      <formula>$Y$41=0</formula>
    </cfRule>
  </conditionalFormatting>
  <conditionalFormatting sqref="Q41:R41">
    <cfRule type="expression" dxfId="162" priority="45" stopIfTrue="1">
      <formula>$Q$41=0</formula>
    </cfRule>
  </conditionalFormatting>
  <conditionalFormatting sqref="U41:V41">
    <cfRule type="expression" dxfId="161" priority="44" stopIfTrue="1">
      <formula>$U$41=0</formula>
    </cfRule>
  </conditionalFormatting>
  <conditionalFormatting sqref="L41:N41">
    <cfRule type="expression" dxfId="160" priority="43" stopIfTrue="1">
      <formula>$L$41=0</formula>
    </cfRule>
  </conditionalFormatting>
  <conditionalFormatting sqref="X8:Y8">
    <cfRule type="expression" dxfId="159" priority="41" stopIfTrue="1">
      <formula>#VALUE!</formula>
    </cfRule>
    <cfRule type="expression" dxfId="158" priority="42" stopIfTrue="1">
      <formula>#VALUE!</formula>
    </cfRule>
  </conditionalFormatting>
  <conditionalFormatting sqref="X19:Y19">
    <cfRule type="expression" dxfId="157" priority="40" stopIfTrue="1">
      <formula>#VALUE!</formula>
    </cfRule>
  </conditionalFormatting>
  <conditionalFormatting sqref="X8:Y8">
    <cfRule type="expression" dxfId="156" priority="28" stopIfTrue="1">
      <formula>#VALUE!</formula>
    </cfRule>
    <cfRule type="expression" dxfId="155" priority="29" stopIfTrue="1">
      <formula>#VALUE!</formula>
    </cfRule>
  </conditionalFormatting>
  <conditionalFormatting sqref="X19:Y19">
    <cfRule type="expression" dxfId="154" priority="27" stopIfTrue="1">
      <formula>#VALUE!</formula>
    </cfRule>
  </conditionalFormatting>
  <conditionalFormatting sqref="X28:Y28">
    <cfRule type="expression" dxfId="153" priority="26" stopIfTrue="1">
      <formula>$X$28:$Y$28=0</formula>
    </cfRule>
  </conditionalFormatting>
  <conditionalFormatting sqref="Z28:AA28">
    <cfRule type="expression" dxfId="152" priority="25" stopIfTrue="1">
      <formula>$Z$28:$AA$28=0</formula>
    </cfRule>
  </conditionalFormatting>
  <conditionalFormatting sqref="X38:Y38">
    <cfRule type="expression" dxfId="151" priority="24" stopIfTrue="1">
      <formula>$X$38:$Y$38=0</formula>
    </cfRule>
  </conditionalFormatting>
  <conditionalFormatting sqref="Z38:AA38">
    <cfRule type="expression" dxfId="150" priority="23" stopIfTrue="1">
      <formula>$Z$38:$AA$38=0</formula>
    </cfRule>
  </conditionalFormatting>
  <conditionalFormatting sqref="P8:U8">
    <cfRule type="expression" dxfId="149" priority="12" stopIfTrue="1">
      <formula>$AG$8=TRUE</formula>
    </cfRule>
  </conditionalFormatting>
  <conditionalFormatting sqref="P15:U15">
    <cfRule type="expression" dxfId="148" priority="11" stopIfTrue="1">
      <formula>$AG$15=TRUE</formula>
    </cfRule>
  </conditionalFormatting>
  <conditionalFormatting sqref="P16:U16">
    <cfRule type="expression" dxfId="147" priority="10" stopIfTrue="1">
      <formula>$AG$16=TRUE</formula>
    </cfRule>
  </conditionalFormatting>
  <conditionalFormatting sqref="P17:U17">
    <cfRule type="expression" dxfId="146" priority="9" stopIfTrue="1">
      <formula>$AG$17=TRUE</formula>
    </cfRule>
  </conditionalFormatting>
  <conditionalFormatting sqref="P18:U18">
    <cfRule type="expression" dxfId="145" priority="8" stopIfTrue="1">
      <formula>$AG$18=TRUE</formula>
    </cfRule>
  </conditionalFormatting>
  <conditionalFormatting sqref="P19:U19">
    <cfRule type="expression" dxfId="144" priority="7" stopIfTrue="1">
      <formula>$AG$19=TRUE</formula>
    </cfRule>
  </conditionalFormatting>
  <conditionalFormatting sqref="P10:U10">
    <cfRule type="expression" dxfId="143" priority="6" stopIfTrue="1">
      <formula>$AG$10=TRUE</formula>
    </cfRule>
  </conditionalFormatting>
  <conditionalFormatting sqref="P11:U11">
    <cfRule type="expression" dxfId="142" priority="5" stopIfTrue="1">
      <formula>$AG$11=TRUE</formula>
    </cfRule>
  </conditionalFormatting>
  <conditionalFormatting sqref="P14:U14">
    <cfRule type="expression" dxfId="141" priority="4" stopIfTrue="1">
      <formula>$AG$14=TRUE</formula>
    </cfRule>
  </conditionalFormatting>
  <conditionalFormatting sqref="P9:U9">
    <cfRule type="expression" dxfId="140" priority="3" stopIfTrue="1">
      <formula>$AG$9=TRUE</formula>
    </cfRule>
  </conditionalFormatting>
  <conditionalFormatting sqref="P12:U12">
    <cfRule type="expression" dxfId="139" priority="2">
      <formula>$AG$12=TRUE</formula>
    </cfRule>
  </conditionalFormatting>
  <conditionalFormatting sqref="P13:U13">
    <cfRule type="expression" dxfId="138"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0375" r:id="rId14" name="Check Box 23">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0376" r:id="rId15" name="Check Box 24">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0377" r:id="rId16" name="Check Box 25">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0387" r:id="rId17" name="Check Box 35">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0388" r:id="rId18" name="Check Box 36">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0389" r:id="rId19" name="Check Box 3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0391" r:id="rId20" name="Check Box 39">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O106"/>
  <sheetViews>
    <sheetView showGridLines="0" view="pageBreakPreview" topLeftCell="A25"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112</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60">
        <f>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0.50700000000000001</v>
      </c>
      <c r="W4" s="361"/>
      <c r="X4" s="360">
        <f>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0.85599999999999998</v>
      </c>
      <c r="Y4" s="361"/>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t="s">
        <v>247</v>
      </c>
      <c r="C8" s="304"/>
      <c r="D8" s="278">
        <v>1.69</v>
      </c>
      <c r="E8" s="220"/>
      <c r="F8" s="220">
        <v>1.37</v>
      </c>
      <c r="G8" s="221"/>
      <c r="H8" s="222">
        <v>1.6</v>
      </c>
      <c r="I8" s="222"/>
      <c r="J8" s="222">
        <v>0.39</v>
      </c>
      <c r="K8" s="222"/>
      <c r="L8" s="296"/>
      <c r="M8" s="296"/>
      <c r="N8" s="305"/>
      <c r="O8" s="306"/>
      <c r="P8" s="313"/>
      <c r="Q8" s="314"/>
      <c r="R8" s="315"/>
      <c r="S8" s="316"/>
      <c r="T8" s="317"/>
      <c r="U8" s="313"/>
      <c r="V8" s="301">
        <f>IF(D8="","",AD8)</f>
        <v>0.42575797017000006</v>
      </c>
      <c r="W8" s="301"/>
      <c r="X8" s="301">
        <f t="shared" ref="X8:X19" si="0">IF(D8="","",IF(ISERROR(AE8),"-",AE8))</f>
        <v>0.39419927352000006</v>
      </c>
      <c r="Y8" s="301"/>
      <c r="Z8" s="301">
        <f>IF(D8="","",D8*F8*AN8)</f>
        <v>3.7044800000000002</v>
      </c>
      <c r="AA8" s="302"/>
      <c r="AD8" s="37">
        <f>D8*F8*J8*$V$4*AH8</f>
        <v>0.42575797017000006</v>
      </c>
      <c r="AE8" s="37">
        <f>D8*F8*J8*$X$4*AI8</f>
        <v>0.39419927352000006</v>
      </c>
      <c r="AG8" s="40" t="b">
        <v>1</v>
      </c>
      <c r="AH8" s="37" t="str">
        <f>IF(AG8=TRUE,"0.93",IF(ISERROR(AK8),"エラー",IF(AK8&gt;0.93,"0.93",AK8)))</f>
        <v>0.93</v>
      </c>
      <c r="AI8" s="37" t="str">
        <f>IF(AG8=TRUE,"0.51",IF(ISERROR(AL8),"エラー",IF(AL8&gt;0.72,"0.72",AL8)))</f>
        <v>0.51</v>
      </c>
      <c r="AK8" s="37" t="e">
        <f>IF(共通条件・結果!$AA$7="８（Ⅵ）",0.01*(16+19*(2*R8+T8)/P8),0.01*(24+9*(3*R8+T8)/P8))</f>
        <v>#DIV/0!</v>
      </c>
      <c r="AL8" s="37" t="e">
        <f>0.01*(5+20*(3*R8+T8)/P8)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3" t="s">
        <v>248</v>
      </c>
      <c r="C9" s="297"/>
      <c r="D9" s="298">
        <v>2.56</v>
      </c>
      <c r="E9" s="299"/>
      <c r="F9" s="299">
        <v>2.0299999999999998</v>
      </c>
      <c r="G9" s="300"/>
      <c r="H9" s="213">
        <v>1.6</v>
      </c>
      <c r="I9" s="213"/>
      <c r="J9" s="213">
        <v>0.39</v>
      </c>
      <c r="K9" s="213"/>
      <c r="L9" s="235"/>
      <c r="M9" s="235"/>
      <c r="N9" s="281"/>
      <c r="O9" s="282"/>
      <c r="P9" s="280"/>
      <c r="Q9" s="283"/>
      <c r="R9" s="284"/>
      <c r="S9" s="285"/>
      <c r="T9" s="279"/>
      <c r="U9" s="280"/>
      <c r="V9" s="241">
        <f t="shared" ref="V9:V19" si="2">IF(D9="","",AD9)</f>
        <v>0.95563383552000014</v>
      </c>
      <c r="W9" s="241"/>
      <c r="X9" s="241">
        <f t="shared" si="0"/>
        <v>0.88479885312000006</v>
      </c>
      <c r="Y9" s="241"/>
      <c r="Z9" s="241">
        <f t="shared" ref="Z9:Z19" si="3">IF(D9="","",D9*F9*AN9)</f>
        <v>8.3148800000000005</v>
      </c>
      <c r="AA9" s="242"/>
      <c r="AD9" s="37">
        <f t="shared" ref="AD9:AD19" si="4">D9*F9*J9*$V$4*AH9</f>
        <v>0.95563383552000014</v>
      </c>
      <c r="AE9" s="37">
        <f t="shared" ref="AE9:AE19" si="5">D9*F9*J9*$X$4*AI9</f>
        <v>0.88479885312000006</v>
      </c>
      <c r="AG9" s="40" t="b">
        <v>1</v>
      </c>
      <c r="AH9" s="37" t="str">
        <f t="shared" ref="AH9:AH19" si="6">IF(AG9=TRUE,"0.93",IF(ISERROR(AK9),"エラー",IF(AK9&gt;0.93,"0.93",AK9)))</f>
        <v>0.93</v>
      </c>
      <c r="AI9" s="37" t="str">
        <f t="shared" ref="AI9:AI19" si="7">IF(AG9=TRUE,"0.51",IF(ISERROR(AL9),"エラー",IF(AL9&gt;0.72,"0.72",AL9)))</f>
        <v>0.51</v>
      </c>
      <c r="AK9" s="37" t="e">
        <f>IF(共通条件・結果!$AA$7="８（Ⅵ）",0.01*(16+19*(2*R9+T9)/P9),0.01*(24+9*(3*R9+T9)/P9))</f>
        <v>#DIV/0!</v>
      </c>
      <c r="AL9" s="37" t="e">
        <f t="shared" ref="AL9:AL19" si="8">0.01*(5+20*(3*R9+T9)/P9)</f>
        <v>#DIV/0!</v>
      </c>
      <c r="AN9" s="37">
        <f>IF(共通条件・結果!$AA$7="８地域",H9,IF(AO9="FALSE",H9,IF(L9="風除室",1/((1/H9)+0.1),0.5*H9+0.5*(1/((1/H9)+AO9)))))</f>
        <v>1.6</v>
      </c>
      <c r="AO9" s="39" t="str">
        <f t="shared" si="1"/>
        <v>FALSE</v>
      </c>
    </row>
    <row r="10" spans="2:41" s="37" customFormat="1" ht="21.9" customHeight="1" x14ac:dyDescent="0.2">
      <c r="B10" s="183" t="s">
        <v>249</v>
      </c>
      <c r="C10" s="297"/>
      <c r="D10" s="298">
        <v>1.69</v>
      </c>
      <c r="E10" s="299"/>
      <c r="F10" s="299">
        <v>1.17</v>
      </c>
      <c r="G10" s="300"/>
      <c r="H10" s="213">
        <v>1.6</v>
      </c>
      <c r="I10" s="213"/>
      <c r="J10" s="213">
        <v>0.39</v>
      </c>
      <c r="K10" s="213"/>
      <c r="L10" s="235"/>
      <c r="M10" s="235"/>
      <c r="N10" s="281"/>
      <c r="O10" s="282"/>
      <c r="P10" s="283"/>
      <c r="Q10" s="287"/>
      <c r="R10" s="286"/>
      <c r="S10" s="287"/>
      <c r="T10" s="286"/>
      <c r="U10" s="279"/>
      <c r="V10" s="241">
        <f t="shared" si="2"/>
        <v>0.36360352197000001</v>
      </c>
      <c r="W10" s="241"/>
      <c r="X10" s="241">
        <f t="shared" si="0"/>
        <v>0.33665193431999996</v>
      </c>
      <c r="Y10" s="241"/>
      <c r="Z10" s="241">
        <f t="shared" si="3"/>
        <v>3.1636799999999998</v>
      </c>
      <c r="AA10" s="242"/>
      <c r="AD10" s="37">
        <f t="shared" si="4"/>
        <v>0.36360352197000001</v>
      </c>
      <c r="AE10" s="37">
        <f t="shared" si="5"/>
        <v>0.33665193431999996</v>
      </c>
      <c r="AG10" s="40" t="b">
        <v>1</v>
      </c>
      <c r="AH10" s="37" t="str">
        <f t="shared" si="6"/>
        <v>0.93</v>
      </c>
      <c r="AI10" s="37" t="str">
        <f t="shared" si="7"/>
        <v>0.51</v>
      </c>
      <c r="AK10" s="37" t="e">
        <f>IF(共通条件・結果!$AA$7="８（Ⅵ）",0.01*(16+19*(2*R10+T10)/P10),0.01*(24+9*(3*R10+T10)/P10))</f>
        <v>#DIV/0!</v>
      </c>
      <c r="AL10" s="37" t="e">
        <f t="shared" si="8"/>
        <v>#DIV/0!</v>
      </c>
      <c r="AN10" s="37">
        <f>IF(共通条件・結果!$AA$7="８地域",H10,IF(AO10="FALSE",H10,IF(L10="風除室",1/((1/H10)+0.1),0.5*H10+0.5*(1/((1/H10)+AO10)))))</f>
        <v>1.6</v>
      </c>
      <c r="AO10" s="39" t="str">
        <f t="shared" si="1"/>
        <v>FALSE</v>
      </c>
    </row>
    <row r="11" spans="2:41" s="37" customFormat="1" ht="21.9" customHeight="1" x14ac:dyDescent="0.2">
      <c r="B11" s="183" t="s">
        <v>250</v>
      </c>
      <c r="C11" s="297"/>
      <c r="D11" s="298">
        <v>1.69</v>
      </c>
      <c r="E11" s="299"/>
      <c r="F11" s="299">
        <v>1.37</v>
      </c>
      <c r="G11" s="300"/>
      <c r="H11" s="213">
        <v>1.6</v>
      </c>
      <c r="I11" s="213"/>
      <c r="J11" s="213">
        <v>0.39</v>
      </c>
      <c r="K11" s="213"/>
      <c r="L11" s="235"/>
      <c r="M11" s="235"/>
      <c r="N11" s="281"/>
      <c r="O11" s="282"/>
      <c r="P11" s="283"/>
      <c r="Q11" s="287"/>
      <c r="R11" s="286"/>
      <c r="S11" s="287"/>
      <c r="T11" s="286"/>
      <c r="U11" s="279"/>
      <c r="V11" s="241">
        <f t="shared" si="2"/>
        <v>0.42575797017000006</v>
      </c>
      <c r="W11" s="241"/>
      <c r="X11" s="241">
        <f t="shared" si="0"/>
        <v>0.39419927352000006</v>
      </c>
      <c r="Y11" s="241"/>
      <c r="Z11" s="241">
        <f t="shared" si="3"/>
        <v>3.7044800000000002</v>
      </c>
      <c r="AA11" s="242"/>
      <c r="AD11" s="37">
        <f t="shared" si="4"/>
        <v>0.42575797017000006</v>
      </c>
      <c r="AE11" s="37">
        <f t="shared" si="5"/>
        <v>0.39419927352000006</v>
      </c>
      <c r="AG11" s="40" t="b">
        <v>1</v>
      </c>
      <c r="AH11" s="37" t="str">
        <f t="shared" si="6"/>
        <v>0.93</v>
      </c>
      <c r="AI11" s="37" t="str">
        <f t="shared" si="7"/>
        <v>0.51</v>
      </c>
      <c r="AK11" s="37" t="e">
        <f>IF(共通条件・結果!$AA$7="８（Ⅵ）",0.01*(16+19*(2*R11+T11)/P11),0.01*(24+9*(3*R11+T11)/P11))</f>
        <v>#DIV/0!</v>
      </c>
      <c r="AL11" s="37" t="e">
        <f t="shared" si="8"/>
        <v>#DIV/0!</v>
      </c>
      <c r="AN11" s="37">
        <f>IF(共通条件・結果!$AA$7="８地域",H11,IF(AO11="FALSE",H11,IF(L11="風除室",1/((1/H11)+0.1),0.5*H11+0.5*(1/((1/H11)+AO11)))))</f>
        <v>1.6</v>
      </c>
      <c r="AO11" s="39" t="str">
        <f t="shared" si="1"/>
        <v>FALSE</v>
      </c>
    </row>
    <row r="12" spans="2:41" s="37" customFormat="1" ht="21.9" customHeight="1" x14ac:dyDescent="0.2">
      <c r="B12" s="183" t="s">
        <v>251</v>
      </c>
      <c r="C12" s="297"/>
      <c r="D12" s="181">
        <v>0.78</v>
      </c>
      <c r="E12" s="187"/>
      <c r="F12" s="226">
        <v>1.17</v>
      </c>
      <c r="G12" s="182"/>
      <c r="H12" s="213">
        <v>1.6</v>
      </c>
      <c r="I12" s="213"/>
      <c r="J12" s="213">
        <v>0.39</v>
      </c>
      <c r="K12" s="213"/>
      <c r="L12" s="227"/>
      <c r="M12" s="228"/>
      <c r="N12" s="281"/>
      <c r="O12" s="345"/>
      <c r="P12" s="283"/>
      <c r="Q12" s="287"/>
      <c r="R12" s="286"/>
      <c r="S12" s="287"/>
      <c r="T12" s="286"/>
      <c r="U12" s="279"/>
      <c r="V12" s="188">
        <f t="shared" ref="V12:V13" si="9">IF(D12="","",AD12)</f>
        <v>0.16781701014000003</v>
      </c>
      <c r="W12" s="212"/>
      <c r="X12" s="188">
        <f t="shared" ref="X12:X13" si="10">IF(D12="","",IF(ISERROR(AE12),"-",AE12))</f>
        <v>0.15537781584000002</v>
      </c>
      <c r="Y12" s="212"/>
      <c r="Z12" s="188">
        <f t="shared" ref="Z12:Z13" si="11">IF(D12="","",D12*F12*AN12)</f>
        <v>1.4601600000000001</v>
      </c>
      <c r="AA12" s="189"/>
      <c r="AD12" s="37">
        <f t="shared" ref="AD12:AD13" si="12">D12*F12*J12*$V$4*AH12</f>
        <v>0.16781701014000003</v>
      </c>
      <c r="AE12" s="37">
        <f t="shared" ref="AE12:AE13" si="13">D12*F12*J12*$X$4*AI12</f>
        <v>0.15537781584000002</v>
      </c>
      <c r="AG12" s="40" t="b">
        <v>1</v>
      </c>
      <c r="AH12" s="37" t="str">
        <f t="shared" ref="AH12:AH13" si="14">IF(AG12=TRUE,"0.93",IF(ISERROR(AK12),"エラー",IF(AK12&gt;0.93,"0.93",AK12)))</f>
        <v>0.93</v>
      </c>
      <c r="AI12" s="37" t="str">
        <f t="shared" ref="AI12:AI13" si="15">IF(AG12=TRUE,"0.51",IF(ISERROR(AL12),"エラー",IF(AL12&gt;0.72,"0.72",AL12)))</f>
        <v>0.51</v>
      </c>
      <c r="AK12" s="37" t="e">
        <f>IF(共通条件・結果!$AA$7="８（Ⅵ）",0.01*(16+19*(2*R12+T12)/P12),0.01*(24+9*(3*R12+T12)/P12))</f>
        <v>#DIV/0!</v>
      </c>
      <c r="AL12" s="37" t="e">
        <f t="shared" ref="AL12:AL13" si="16">0.01*(5+20*(3*R12+T12)/P12)</f>
        <v>#DIV/0!</v>
      </c>
      <c r="AN12" s="37">
        <f>IF(共通条件・結果!$AA$7="８地域",H12,IF(AO12="FALSE",H12,IF(L12="風除室",1/((1/H12)+0.1),0.5*H12+0.5*(1/((1/H12)+AO12)))))</f>
        <v>1.6</v>
      </c>
      <c r="AO12" s="95" t="str">
        <f t="shared" ref="AO12:AO13" si="17">IF(L12="","FALSE",IF(L12="雨戸",0.1,IF(L12="ｼｬｯﾀｰ",0.1,IF(L12="障子",0.18,IF(L12="風除室",0.1)))))</f>
        <v>FALSE</v>
      </c>
    </row>
    <row r="13" spans="2:41" s="37" customFormat="1" ht="21.9" customHeight="1" x14ac:dyDescent="0.2">
      <c r="B13" s="183" t="s">
        <v>252</v>
      </c>
      <c r="C13" s="297"/>
      <c r="D13" s="181">
        <v>0.78</v>
      </c>
      <c r="E13" s="187"/>
      <c r="F13" s="226">
        <v>1.17</v>
      </c>
      <c r="G13" s="182"/>
      <c r="H13" s="213">
        <v>1.6</v>
      </c>
      <c r="I13" s="213"/>
      <c r="J13" s="213">
        <v>0.39</v>
      </c>
      <c r="K13" s="213"/>
      <c r="L13" s="227"/>
      <c r="M13" s="228"/>
      <c r="N13" s="281"/>
      <c r="O13" s="345"/>
      <c r="P13" s="283"/>
      <c r="Q13" s="287"/>
      <c r="R13" s="286"/>
      <c r="S13" s="287"/>
      <c r="T13" s="286"/>
      <c r="U13" s="279"/>
      <c r="V13" s="188">
        <f t="shared" si="9"/>
        <v>0.16781701014000003</v>
      </c>
      <c r="W13" s="212"/>
      <c r="X13" s="188">
        <f t="shared" si="10"/>
        <v>0.15537781584000002</v>
      </c>
      <c r="Y13" s="212"/>
      <c r="Z13" s="188">
        <f t="shared" si="11"/>
        <v>1.4601600000000001</v>
      </c>
      <c r="AA13" s="189"/>
      <c r="AD13" s="37">
        <f t="shared" si="12"/>
        <v>0.16781701014000003</v>
      </c>
      <c r="AE13" s="37">
        <f t="shared" si="13"/>
        <v>0.15537781584000002</v>
      </c>
      <c r="AG13" s="40" t="b">
        <v>1</v>
      </c>
      <c r="AH13" s="37" t="str">
        <f t="shared" si="14"/>
        <v>0.93</v>
      </c>
      <c r="AI13" s="37" t="str">
        <f t="shared" si="15"/>
        <v>0.51</v>
      </c>
      <c r="AK13" s="37" t="e">
        <f>IF(共通条件・結果!$AA$7="８（Ⅵ）",0.01*(16+19*(2*R13+T13)/P13),0.01*(24+9*(3*R13+T13)/P13))</f>
        <v>#DIV/0!</v>
      </c>
      <c r="AL13" s="37" t="e">
        <f t="shared" si="16"/>
        <v>#DIV/0!</v>
      </c>
      <c r="AN13" s="37">
        <f>IF(共通条件・結果!$AA$7="８地域",H13,IF(AO13="FALSE",H13,IF(L13="風除室",1/((1/H13)+0.1),0.5*H13+0.5*(1/((1/H13)+AO13)))))</f>
        <v>1.6</v>
      </c>
      <c r="AO13" s="95" t="str">
        <f t="shared" si="17"/>
        <v>FALSE</v>
      </c>
    </row>
    <row r="14" spans="2:41" s="37" customFormat="1" ht="21.9" customHeight="1" x14ac:dyDescent="0.2">
      <c r="B14" s="183" t="s">
        <v>253</v>
      </c>
      <c r="C14" s="297"/>
      <c r="D14" s="181">
        <v>0.78</v>
      </c>
      <c r="E14" s="187"/>
      <c r="F14" s="226">
        <v>1.17</v>
      </c>
      <c r="G14" s="182"/>
      <c r="H14" s="213">
        <v>1.6</v>
      </c>
      <c r="I14" s="213"/>
      <c r="J14" s="213">
        <v>0.39</v>
      </c>
      <c r="K14" s="213"/>
      <c r="L14" s="235" t="s">
        <v>65</v>
      </c>
      <c r="M14" s="235"/>
      <c r="N14" s="281"/>
      <c r="O14" s="282"/>
      <c r="P14" s="283"/>
      <c r="Q14" s="287"/>
      <c r="R14" s="286"/>
      <c r="S14" s="287"/>
      <c r="T14" s="286"/>
      <c r="U14" s="279"/>
      <c r="V14" s="241">
        <f t="shared" si="2"/>
        <v>0.16781701014000003</v>
      </c>
      <c r="W14" s="241"/>
      <c r="X14" s="241">
        <f t="shared" si="0"/>
        <v>0.15537781584000002</v>
      </c>
      <c r="Y14" s="241"/>
      <c r="Z14" s="241">
        <f t="shared" si="3"/>
        <v>1.4601600000000001</v>
      </c>
      <c r="AA14" s="242"/>
      <c r="AD14" s="37">
        <f t="shared" si="4"/>
        <v>0.16781701014000003</v>
      </c>
      <c r="AE14" s="37">
        <f t="shared" si="5"/>
        <v>0.15537781584000002</v>
      </c>
      <c r="AG14" s="40" t="b">
        <v>1</v>
      </c>
      <c r="AH14" s="37" t="str">
        <f t="shared" si="6"/>
        <v>0.93</v>
      </c>
      <c r="AI14" s="37" t="str">
        <f t="shared" si="7"/>
        <v>0.51</v>
      </c>
      <c r="AK14" s="37" t="e">
        <f>IF(共通条件・結果!$AA$7="８（Ⅵ）",0.01*(16+19*(2*R14+T14)/P14),0.01*(24+9*(3*R14+T14)/P14))</f>
        <v>#DIV/0!</v>
      </c>
      <c r="AL14" s="37" t="e">
        <f t="shared" si="8"/>
        <v>#DIV/0!</v>
      </c>
      <c r="AN14" s="37">
        <f>IF(共通条件・結果!$AA$7="８地域",H14,IF(AO14="FALSE",H14,IF(L14="風除室",1/((1/H14)+0.1),0.5*H14+0.5*(1/((1/H14)+AO14)))))</f>
        <v>1.6</v>
      </c>
      <c r="AO14" s="39" t="b">
        <f t="shared" si="1"/>
        <v>0</v>
      </c>
    </row>
    <row r="15" spans="2:41" s="37" customFormat="1" ht="21.9" customHeight="1" x14ac:dyDescent="0.2">
      <c r="B15" s="183" t="s">
        <v>254</v>
      </c>
      <c r="C15" s="297"/>
      <c r="D15" s="298">
        <v>1.69</v>
      </c>
      <c r="E15" s="299"/>
      <c r="F15" s="299">
        <v>1.37</v>
      </c>
      <c r="G15" s="300"/>
      <c r="H15" s="213">
        <v>1.6</v>
      </c>
      <c r="I15" s="213"/>
      <c r="J15" s="213">
        <v>0.39</v>
      </c>
      <c r="K15" s="213"/>
      <c r="L15" s="235" t="s">
        <v>65</v>
      </c>
      <c r="M15" s="235"/>
      <c r="N15" s="281"/>
      <c r="O15" s="282"/>
      <c r="P15" s="283"/>
      <c r="Q15" s="287"/>
      <c r="R15" s="286"/>
      <c r="S15" s="287"/>
      <c r="T15" s="286"/>
      <c r="U15" s="279"/>
      <c r="V15" s="188">
        <f t="shared" si="2"/>
        <v>0.42575797017000006</v>
      </c>
      <c r="W15" s="212"/>
      <c r="X15" s="241">
        <f t="shared" si="0"/>
        <v>0.39419927352000006</v>
      </c>
      <c r="Y15" s="241"/>
      <c r="Z15" s="241">
        <f t="shared" si="3"/>
        <v>3.7044800000000002</v>
      </c>
      <c r="AA15" s="242"/>
      <c r="AD15" s="37">
        <f t="shared" si="4"/>
        <v>0.42575797017000006</v>
      </c>
      <c r="AE15" s="37">
        <f t="shared" si="5"/>
        <v>0.39419927352000006</v>
      </c>
      <c r="AG15" s="40" t="b">
        <v>1</v>
      </c>
      <c r="AH15" s="37" t="str">
        <f t="shared" si="6"/>
        <v>0.93</v>
      </c>
      <c r="AI15" s="37" t="str">
        <f t="shared" si="7"/>
        <v>0.51</v>
      </c>
      <c r="AK15" s="37" t="e">
        <f>IF(共通条件・結果!$AA$7="８（Ⅵ）",0.01*(16+19*(2*R15+T15)/P15),0.01*(24+9*(3*R15+T15)/P15))</f>
        <v>#DIV/0!</v>
      </c>
      <c r="AL15" s="37" t="e">
        <f t="shared" si="8"/>
        <v>#DIV/0!</v>
      </c>
      <c r="AN15" s="37">
        <f>IF(共通条件・結果!$AA$7="８地域",H15,IF(AO15="FALSE",H15,IF(L15="風除室",1/((1/H15)+0.1),0.5*H15+0.5*(1/((1/H15)+AO15)))))</f>
        <v>1.6</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IF(共通条件・結果!$AA$7="８（Ⅵ）",0.01*(16+19*(2*R16+T16)/P16),0.01*(24+9*(3*R16+T16)/P16))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IF(共通条件・結果!$AA$7="８（Ⅵ）",0.01*(16+19*(2*R17+T17)/P17),0.01*(24+9*(3*R17+T17)/P17))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IF(共通条件・結果!$AA$7="８（Ⅵ）",0.01*(16+19*(2*R18+T18)/P18),0.01*(24+9*(3*R18+T18)/P18))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IF(共通条件・結果!$AA$7="８（Ⅵ）",0.01*(16+19*(2*R19+T19)/P19),0.01*(24+9*(3*R19+T19)/P19))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29" t="s">
        <v>126</v>
      </c>
      <c r="C20" s="230"/>
      <c r="D20" s="230"/>
      <c r="E20" s="230"/>
      <c r="F20" s="230"/>
      <c r="G20" s="230"/>
      <c r="H20" s="230"/>
      <c r="I20" s="230"/>
      <c r="J20" s="230"/>
      <c r="K20" s="230"/>
      <c r="L20" s="230"/>
      <c r="M20" s="230"/>
      <c r="N20" s="230"/>
      <c r="O20" s="230"/>
      <c r="P20" s="230"/>
      <c r="Q20" s="230"/>
      <c r="R20" s="230"/>
      <c r="S20" s="230"/>
      <c r="T20" s="230"/>
      <c r="U20" s="230"/>
      <c r="V20" s="218">
        <f>SUM(V8:W19)</f>
        <v>3.0999622984199995</v>
      </c>
      <c r="W20" s="218"/>
      <c r="X20" s="218">
        <f>SUM(X8:Y19)</f>
        <v>2.8701820555200004</v>
      </c>
      <c r="Y20" s="218"/>
      <c r="Z20" s="218">
        <f>SUM(Z8:AA19)</f>
        <v>26.972480000000008</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146</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256</v>
      </c>
      <c r="K33" s="346"/>
      <c r="L33" s="247">
        <f>10.8*(2.4+0.438+2.4+0.043+0.105+0.02)</f>
        <v>58.384799999999998</v>
      </c>
      <c r="M33" s="248"/>
      <c r="N33" s="247">
        <f>16.8578</f>
        <v>16.857800000000001</v>
      </c>
      <c r="O33" s="248"/>
      <c r="P33" s="249">
        <f>IF(L33="","",L33-N33)</f>
        <v>41.527000000000001</v>
      </c>
      <c r="Q33" s="250"/>
      <c r="R33" s="222">
        <v>0.23555458027078999</v>
      </c>
      <c r="S33" s="222"/>
      <c r="T33" s="251"/>
      <c r="U33" s="251"/>
      <c r="V33" s="241">
        <f>IF(P33="","",IF(AD33=TRUE,0,P33*R33*0.034*$V$4))</f>
        <v>0.16861996219645406</v>
      </c>
      <c r="W33" s="241"/>
      <c r="X33" s="188">
        <f>IF(P33="","",IF(ISERROR(P33*R33*0.034*$X$4),"-",IF(AD33=TRUE,0,P33*R33*0.034*$X$4)))</f>
        <v>0.28469169159795793</v>
      </c>
      <c r="Y33" s="212"/>
      <c r="Z33" s="224">
        <f>IF(R33="","",IF(AD33=TRUE,0.7*R33*P33,R33*P33))</f>
        <v>9.7818750549050968</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t="s">
        <v>262</v>
      </c>
      <c r="K34" s="184"/>
      <c r="L34" s="181">
        <f>0.5*10.8</f>
        <v>5.4</v>
      </c>
      <c r="M34" s="182"/>
      <c r="N34" s="181">
        <v>0</v>
      </c>
      <c r="O34" s="182"/>
      <c r="P34" s="185">
        <f t="shared" ref="P34:P35" si="18">IF(L34="","",L34-N34)</f>
        <v>5.4</v>
      </c>
      <c r="Q34" s="186"/>
      <c r="R34" s="181">
        <v>0.26183640835258143</v>
      </c>
      <c r="S34" s="182"/>
      <c r="T34" s="179"/>
      <c r="U34" s="180"/>
      <c r="V34" s="188">
        <f t="shared" ref="V34:V35" si="19">IF(P34="","",IF(AD34=TRUE,0,P34*R34*0.034*$V$4))</f>
        <v>2.4373094438781717E-2</v>
      </c>
      <c r="W34" s="212"/>
      <c r="X34" s="188">
        <f t="shared" ref="X34:X35" si="20">IF(P34="","",IF(ISERROR(P34*R34*0.034*$X$4),"-",IF(AD34=TRUE,0,P34*R34*0.034*$X$4)))</f>
        <v>4.1150628874945069E-2</v>
      </c>
      <c r="Y34" s="212"/>
      <c r="Z34" s="188">
        <f t="shared" ref="Z34:Z35" si="21">IF(R34="","",IF(AD34=TRUE,0.7*R34*P34,R34*P34))</f>
        <v>1.4139166051039398</v>
      </c>
      <c r="AA34" s="189"/>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18"/>
        <v/>
      </c>
      <c r="Q35" s="186"/>
      <c r="R35" s="181"/>
      <c r="S35" s="182"/>
      <c r="T35" s="179"/>
      <c r="U35" s="180"/>
      <c r="V35" s="188" t="str">
        <f t="shared" si="19"/>
        <v/>
      </c>
      <c r="W35" s="212"/>
      <c r="X35" s="188" t="str">
        <f t="shared" si="20"/>
        <v/>
      </c>
      <c r="Y35" s="212"/>
      <c r="Z35" s="188" t="str">
        <f t="shared" si="21"/>
        <v/>
      </c>
      <c r="AA35" s="189"/>
      <c r="AD35" s="40" t="b">
        <v>0</v>
      </c>
      <c r="AE35" s="40">
        <f t="shared" si="22"/>
        <v>1</v>
      </c>
      <c r="AF35" s="40" t="str">
        <f t="shared" si="23"/>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127</v>
      </c>
      <c r="K38" s="230"/>
      <c r="L38" s="230"/>
      <c r="M38" s="230"/>
      <c r="N38" s="230"/>
      <c r="O38" s="230"/>
      <c r="P38" s="230"/>
      <c r="Q38" s="230"/>
      <c r="R38" s="230"/>
      <c r="S38" s="230"/>
      <c r="T38" s="230"/>
      <c r="U38" s="231"/>
      <c r="V38" s="218">
        <f>SUM(V33:W37)</f>
        <v>0.19299305663523578</v>
      </c>
      <c r="W38" s="218"/>
      <c r="X38" s="218">
        <f>SUM(X33:Y37)</f>
        <v>0.32584232047290301</v>
      </c>
      <c r="Y38" s="218"/>
      <c r="Z38" s="218">
        <f>SUM(Z33:AA37)</f>
        <v>11.195791660009036</v>
      </c>
      <c r="AA38" s="219"/>
    </row>
    <row r="39" spans="2:32" s="37" customFormat="1" ht="9.9" customHeight="1" x14ac:dyDescent="0.2"/>
    <row r="40" spans="2:32" s="37" customFormat="1" ht="21.9" customHeight="1" thickBot="1" x14ac:dyDescent="0.25">
      <c r="B40" s="38" t="s">
        <v>128</v>
      </c>
    </row>
    <row r="41" spans="2:32" s="37" customFormat="1" ht="21.9" customHeight="1" x14ac:dyDescent="0.2">
      <c r="B41" s="258" t="s">
        <v>105</v>
      </c>
      <c r="C41" s="259"/>
      <c r="D41" s="268" t="s">
        <v>56</v>
      </c>
      <c r="E41" s="269"/>
      <c r="F41" s="269"/>
      <c r="G41" s="269"/>
      <c r="H41" s="269"/>
      <c r="I41" s="269"/>
      <c r="J41" s="270"/>
      <c r="K41" s="42"/>
      <c r="L41" s="264">
        <f>Q41+U41+Y41</f>
        <v>63.784799999999997</v>
      </c>
      <c r="M41" s="264"/>
      <c r="N41" s="264"/>
      <c r="O41" s="42" t="s">
        <v>24</v>
      </c>
      <c r="P41" s="43" t="s">
        <v>23</v>
      </c>
      <c r="Q41" s="265">
        <f>D8*F8+D9*F9+D10*F10+D11*F11+D12*F12+D13*F13+D14*F14+D15*F15+D16*F16+D17*F17+D18*F18+D19*F19</f>
        <v>16.857799999999997</v>
      </c>
      <c r="R41" s="265"/>
      <c r="S41" s="44" t="s">
        <v>25</v>
      </c>
      <c r="T41" s="44" t="s">
        <v>22</v>
      </c>
      <c r="U41" s="266">
        <f>N25*P25+N26*P26+N27*P27</f>
        <v>0</v>
      </c>
      <c r="V41" s="266"/>
      <c r="W41" s="44" t="s">
        <v>25</v>
      </c>
      <c r="X41" s="44" t="s">
        <v>1</v>
      </c>
      <c r="Y41" s="267">
        <f>SUM(P33:Q37)</f>
        <v>46.927</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3.2929553550552351</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3.1960243759929035</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38.16827166000904</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deKcOS8PQnLRXbFzx3awdeFlf8toZzAQwcYsGVpUOSwPDmqhoZPq0wVmmewskfBs1UtJI93Ya5z6cW5/M35gCA==" saltValue="JmpLiliZYWG7A3ihtgOlJ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P34:Q34"/>
    <mergeCell ref="P35:Q35"/>
    <mergeCell ref="R34:S34"/>
    <mergeCell ref="R35:S35"/>
    <mergeCell ref="V34:W34"/>
    <mergeCell ref="V35:W35"/>
    <mergeCell ref="T34:U34"/>
    <mergeCell ref="T35:U35"/>
  </mergeCells>
  <phoneticPr fontId="2"/>
  <conditionalFormatting sqref="V20:W20">
    <cfRule type="expression" dxfId="137" priority="51" stopIfTrue="1">
      <formula>$V$20=0</formula>
    </cfRule>
  </conditionalFormatting>
  <conditionalFormatting sqref="X20:Y20">
    <cfRule type="expression" dxfId="136" priority="50" stopIfTrue="1">
      <formula>$X$20=0</formula>
    </cfRule>
  </conditionalFormatting>
  <conditionalFormatting sqref="Z20:AA20">
    <cfRule type="expression" dxfId="135" priority="49" stopIfTrue="1">
      <formula>$Z$20=0</formula>
    </cfRule>
  </conditionalFormatting>
  <conditionalFormatting sqref="V28:W28">
    <cfRule type="expression" dxfId="134" priority="48" stopIfTrue="1">
      <formula>$V$28:$W$28=0</formula>
    </cfRule>
  </conditionalFormatting>
  <conditionalFormatting sqref="V38:W38">
    <cfRule type="expression" dxfId="133" priority="47" stopIfTrue="1">
      <formula>$V$38:$W$38=0</formula>
    </cfRule>
  </conditionalFormatting>
  <conditionalFormatting sqref="Y41:Z41">
    <cfRule type="expression" dxfId="132" priority="46" stopIfTrue="1">
      <formula>$Y$41=0</formula>
    </cfRule>
  </conditionalFormatting>
  <conditionalFormatting sqref="Q41:R41">
    <cfRule type="expression" dxfId="131" priority="45" stopIfTrue="1">
      <formula>$Q$41=0</formula>
    </cfRule>
  </conditionalFormatting>
  <conditionalFormatting sqref="U41:V41">
    <cfRule type="expression" dxfId="130" priority="44" stopIfTrue="1">
      <formula>$U$41=0</formula>
    </cfRule>
  </conditionalFormatting>
  <conditionalFormatting sqref="L41:N41">
    <cfRule type="expression" dxfId="129" priority="43" stopIfTrue="1">
      <formula>$L$41=0</formula>
    </cfRule>
  </conditionalFormatting>
  <conditionalFormatting sqref="X8:Y8">
    <cfRule type="expression" dxfId="128" priority="41" stopIfTrue="1">
      <formula>#VALUE!</formula>
    </cfRule>
    <cfRule type="expression" dxfId="127" priority="42" stopIfTrue="1">
      <formula>#VALUE!</formula>
    </cfRule>
  </conditionalFormatting>
  <conditionalFormatting sqref="X19:Y19">
    <cfRule type="expression" dxfId="126" priority="40" stopIfTrue="1">
      <formula>#VALUE!</formula>
    </cfRule>
  </conditionalFormatting>
  <conditionalFormatting sqref="X8:Y8">
    <cfRule type="expression" dxfId="125" priority="28" stopIfTrue="1">
      <formula>#VALUE!</formula>
    </cfRule>
    <cfRule type="expression" dxfId="124" priority="29" stopIfTrue="1">
      <formula>#VALUE!</formula>
    </cfRule>
  </conditionalFormatting>
  <conditionalFormatting sqref="X19:Y19">
    <cfRule type="expression" dxfId="123" priority="27" stopIfTrue="1">
      <formula>#VALUE!</formula>
    </cfRule>
  </conditionalFormatting>
  <conditionalFormatting sqref="X28:Y28">
    <cfRule type="expression" dxfId="122" priority="26" stopIfTrue="1">
      <formula>$X$28:$Y$28=0</formula>
    </cfRule>
  </conditionalFormatting>
  <conditionalFormatting sqref="Z28:AA28">
    <cfRule type="expression" dxfId="121" priority="25" stopIfTrue="1">
      <formula>$Z$28:$AA$28=0</formula>
    </cfRule>
  </conditionalFormatting>
  <conditionalFormatting sqref="X38:Y38">
    <cfRule type="expression" dxfId="120" priority="24" stopIfTrue="1">
      <formula>$X$38:$Y$38=0</formula>
    </cfRule>
  </conditionalFormatting>
  <conditionalFormatting sqref="Z38:AA38">
    <cfRule type="expression" dxfId="119" priority="23" stopIfTrue="1">
      <formula>$Z$38:$AA$38=0</formula>
    </cfRule>
  </conditionalFormatting>
  <conditionalFormatting sqref="P8:U8">
    <cfRule type="expression" dxfId="118" priority="12" stopIfTrue="1">
      <formula>$AG$8=TRUE</formula>
    </cfRule>
  </conditionalFormatting>
  <conditionalFormatting sqref="P15:U15">
    <cfRule type="expression" dxfId="117" priority="11" stopIfTrue="1">
      <formula>$AG$15=TRUE</formula>
    </cfRule>
  </conditionalFormatting>
  <conditionalFormatting sqref="P16:U16">
    <cfRule type="expression" dxfId="116" priority="10" stopIfTrue="1">
      <formula>$AG$16=TRUE</formula>
    </cfRule>
  </conditionalFormatting>
  <conditionalFormatting sqref="P17:U17">
    <cfRule type="expression" dxfId="115" priority="9" stopIfTrue="1">
      <formula>$AG$17=TRUE</formula>
    </cfRule>
  </conditionalFormatting>
  <conditionalFormatting sqref="P18:U18">
    <cfRule type="expression" dxfId="114" priority="8" stopIfTrue="1">
      <formula>$AG$18=TRUE</formula>
    </cfRule>
  </conditionalFormatting>
  <conditionalFormatting sqref="P19:U19">
    <cfRule type="expression" dxfId="113" priority="7" stopIfTrue="1">
      <formula>$AG$19=TRUE</formula>
    </cfRule>
  </conditionalFormatting>
  <conditionalFormatting sqref="P10:U10">
    <cfRule type="expression" dxfId="112" priority="6" stopIfTrue="1">
      <formula>$AG$10=TRUE</formula>
    </cfRule>
  </conditionalFormatting>
  <conditionalFormatting sqref="P11:U11">
    <cfRule type="expression" dxfId="111" priority="5" stopIfTrue="1">
      <formula>$AG$11=TRUE</formula>
    </cfRule>
  </conditionalFormatting>
  <conditionalFormatting sqref="P14:U14">
    <cfRule type="expression" dxfId="110" priority="4" stopIfTrue="1">
      <formula>$AG$14=TRUE</formula>
    </cfRule>
  </conditionalFormatting>
  <conditionalFormatting sqref="P9:U9">
    <cfRule type="expression" dxfId="109" priority="3" stopIfTrue="1">
      <formula>$AG$9=TRUE</formula>
    </cfRule>
  </conditionalFormatting>
  <conditionalFormatting sqref="P12:U12">
    <cfRule type="expression" dxfId="108" priority="2">
      <formula>$AG$12=TRUE</formula>
    </cfRule>
  </conditionalFormatting>
  <conditionalFormatting sqref="P13:U13">
    <cfRule type="expression" dxfId="107"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1398"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1399"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1400"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1409"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1410"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1411" r:id="rId19" name="Check Box 35">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1412" r:id="rId20" name="Check Box 36">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O106"/>
  <sheetViews>
    <sheetView showGridLines="0" view="pageBreakPreview" topLeftCell="A22"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113</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58">
        <f>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0.54800000000000004</v>
      </c>
      <c r="W4" s="359"/>
      <c r="X4" s="358">
        <f>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0.753</v>
      </c>
      <c r="Y4" s="359"/>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9">IF(D12="","",AD12)</f>
        <v/>
      </c>
      <c r="W12" s="212"/>
      <c r="X12" s="188" t="str">
        <f t="shared" ref="X12:X13" si="10">IF(D12="","",IF(ISERROR(AE12),"-",AE12))</f>
        <v/>
      </c>
      <c r="Y12" s="212"/>
      <c r="Z12" s="188" t="str">
        <f t="shared" ref="Z12:Z13" si="11">IF(D12="","",D12*F12*AN12)</f>
        <v/>
      </c>
      <c r="AA12" s="189"/>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9"/>
        <v/>
      </c>
      <c r="W13" s="212"/>
      <c r="X13" s="188" t="str">
        <f t="shared" si="10"/>
        <v/>
      </c>
      <c r="Y13" s="212"/>
      <c r="Z13" s="188" t="str">
        <f t="shared" si="11"/>
        <v/>
      </c>
      <c r="AA13" s="189"/>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29" t="s">
        <v>129</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147</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222"/>
      <c r="S33" s="222"/>
      <c r="T33" s="251"/>
      <c r="U33" s="251"/>
      <c r="V33" s="224" t="str">
        <f>IF(P33="","",IF(AD33=TRUE,0,P33*R33*0.034*$V$4))</f>
        <v/>
      </c>
      <c r="W33" s="224"/>
      <c r="X33" s="252" t="str">
        <f>IF(P33="","",IF(ISERROR(P33*R33*0.034*$X$4),"-",IF(AD33=TRUE,0,P33*R33*0.034*$X$4)))</f>
        <v/>
      </c>
      <c r="Y33" s="253"/>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18">IF(L34="","",L34-N34)</f>
        <v/>
      </c>
      <c r="Q34" s="186"/>
      <c r="R34" s="181"/>
      <c r="S34" s="182"/>
      <c r="T34" s="179"/>
      <c r="U34" s="180"/>
      <c r="V34" s="188" t="str">
        <f t="shared" ref="V34:V35" si="19">IF(P34="","",IF(AD34=TRUE,0,P34*R34*0.034*$V$4))</f>
        <v/>
      </c>
      <c r="W34" s="212"/>
      <c r="X34" s="188" t="str">
        <f t="shared" ref="X34:X35" si="20">IF(P34="","",IF(ISERROR(P34*R34*0.034*$X$4),"-",IF(AD34=TRUE,0,P34*R34*0.034*$X$4)))</f>
        <v/>
      </c>
      <c r="Y34" s="212"/>
      <c r="Z34" s="188" t="str">
        <f t="shared" ref="Z34:Z35" si="21">IF(R34="","",IF(AD34=TRUE,0.7*R34*P34,R34*P34))</f>
        <v/>
      </c>
      <c r="AA34" s="189"/>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18"/>
        <v/>
      </c>
      <c r="Q35" s="186"/>
      <c r="R35" s="181"/>
      <c r="S35" s="182"/>
      <c r="T35" s="179"/>
      <c r="U35" s="180"/>
      <c r="V35" s="188" t="str">
        <f t="shared" si="19"/>
        <v/>
      </c>
      <c r="W35" s="212"/>
      <c r="X35" s="188" t="str">
        <f t="shared" si="20"/>
        <v/>
      </c>
      <c r="Y35" s="212"/>
      <c r="Z35" s="188" t="str">
        <f t="shared" si="21"/>
        <v/>
      </c>
      <c r="AA35" s="189"/>
      <c r="AD35" s="40" t="b">
        <v>0</v>
      </c>
      <c r="AE35" s="40">
        <f t="shared" si="22"/>
        <v>1</v>
      </c>
      <c r="AF35" s="40" t="str">
        <f t="shared" si="23"/>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130</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131</v>
      </c>
    </row>
    <row r="41" spans="2:32" s="37" customFormat="1" ht="21.9" customHeight="1" x14ac:dyDescent="0.2">
      <c r="B41" s="258" t="s">
        <v>106</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aGyMV+EeIGo/S14kfZBnN227JOk0QUHiQkUSCSc7YT0at3Bbg2D6/2AVhEKpWrEMFym3rPgvCH+/qXAA12J5Ig==" saltValue="QETEVIq339CgLfyXRVeaL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N26:O26"/>
    <mergeCell ref="J26:M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R34:S34"/>
    <mergeCell ref="R35:S35"/>
    <mergeCell ref="P34:Q34"/>
    <mergeCell ref="P35:Q35"/>
    <mergeCell ref="V34:W34"/>
    <mergeCell ref="V35:W35"/>
    <mergeCell ref="T34:U34"/>
    <mergeCell ref="T35:U35"/>
  </mergeCells>
  <phoneticPr fontId="2"/>
  <conditionalFormatting sqref="V20:W20">
    <cfRule type="expression" dxfId="106" priority="51" stopIfTrue="1">
      <formula>$V$20=0</formula>
    </cfRule>
  </conditionalFormatting>
  <conditionalFormatting sqref="X20:Y20">
    <cfRule type="expression" dxfId="105" priority="50" stopIfTrue="1">
      <formula>$X$20=0</formula>
    </cfRule>
  </conditionalFormatting>
  <conditionalFormatting sqref="Z20:AA20">
    <cfRule type="expression" dxfId="104" priority="49" stopIfTrue="1">
      <formula>$Z$20=0</formula>
    </cfRule>
  </conditionalFormatting>
  <conditionalFormatting sqref="V28:W28">
    <cfRule type="expression" dxfId="103" priority="48" stopIfTrue="1">
      <formula>$V$28:$W$28=0</formula>
    </cfRule>
  </conditionalFormatting>
  <conditionalFormatting sqref="V38:W38">
    <cfRule type="expression" dxfId="102" priority="47" stopIfTrue="1">
      <formula>$V$38:$W$38=0</formula>
    </cfRule>
  </conditionalFormatting>
  <conditionalFormatting sqref="Y41:Z41">
    <cfRule type="expression" dxfId="101" priority="46" stopIfTrue="1">
      <formula>$Y$41=0</formula>
    </cfRule>
  </conditionalFormatting>
  <conditionalFormatting sqref="Q41:R41">
    <cfRule type="expression" dxfId="100" priority="45" stopIfTrue="1">
      <formula>$Q$41=0</formula>
    </cfRule>
  </conditionalFormatting>
  <conditionalFormatting sqref="U41:V41">
    <cfRule type="expression" dxfId="99" priority="44" stopIfTrue="1">
      <formula>$U$41=0</formula>
    </cfRule>
  </conditionalFormatting>
  <conditionalFormatting sqref="L41:N41">
    <cfRule type="expression" dxfId="98" priority="43" stopIfTrue="1">
      <formula>$L$41=0</formula>
    </cfRule>
  </conditionalFormatting>
  <conditionalFormatting sqref="X8:Y8">
    <cfRule type="expression" dxfId="97" priority="41" stopIfTrue="1">
      <formula>#VALUE!</formula>
    </cfRule>
    <cfRule type="expression" dxfId="96" priority="42" stopIfTrue="1">
      <formula>#VALUE!</formula>
    </cfRule>
  </conditionalFormatting>
  <conditionalFormatting sqref="X19:Y19">
    <cfRule type="expression" dxfId="95" priority="40" stopIfTrue="1">
      <formula>#VALUE!</formula>
    </cfRule>
  </conditionalFormatting>
  <conditionalFormatting sqref="X8:Y8">
    <cfRule type="expression" dxfId="94" priority="28" stopIfTrue="1">
      <formula>#VALUE!</formula>
    </cfRule>
    <cfRule type="expression" dxfId="93" priority="29" stopIfTrue="1">
      <formula>#VALUE!</formula>
    </cfRule>
  </conditionalFormatting>
  <conditionalFormatting sqref="X19:Y19">
    <cfRule type="expression" dxfId="92" priority="27" stopIfTrue="1">
      <formula>#VALUE!</formula>
    </cfRule>
  </conditionalFormatting>
  <conditionalFormatting sqref="X28:Y28">
    <cfRule type="expression" dxfId="91" priority="26" stopIfTrue="1">
      <formula>$X$28:$Y$28=0</formula>
    </cfRule>
  </conditionalFormatting>
  <conditionalFormatting sqref="Z28:AA28">
    <cfRule type="expression" dxfId="90" priority="25" stopIfTrue="1">
      <formula>$Z$28:$AA$28=0</formula>
    </cfRule>
  </conditionalFormatting>
  <conditionalFormatting sqref="X38:Y38">
    <cfRule type="expression" dxfId="89" priority="24" stopIfTrue="1">
      <formula>$X$38:$Y$38=0</formula>
    </cfRule>
  </conditionalFormatting>
  <conditionalFormatting sqref="Z38:AA38">
    <cfRule type="expression" dxfId="88" priority="23" stopIfTrue="1">
      <formula>$Z$38:$AA$38=0</formula>
    </cfRule>
  </conditionalFormatting>
  <conditionalFormatting sqref="P8:U8">
    <cfRule type="expression" dxfId="87" priority="12" stopIfTrue="1">
      <formula>$AG$8=TRUE</formula>
    </cfRule>
  </conditionalFormatting>
  <conditionalFormatting sqref="P15:U15">
    <cfRule type="expression" dxfId="86" priority="11" stopIfTrue="1">
      <formula>$AG$15=TRUE</formula>
    </cfRule>
  </conditionalFormatting>
  <conditionalFormatting sqref="P16:U16">
    <cfRule type="expression" dxfId="85" priority="10" stopIfTrue="1">
      <formula>$AG$16=TRUE</formula>
    </cfRule>
  </conditionalFormatting>
  <conditionalFormatting sqref="P17:U17">
    <cfRule type="expression" dxfId="84" priority="9" stopIfTrue="1">
      <formula>$AG$17=TRUE</formula>
    </cfRule>
  </conditionalFormatting>
  <conditionalFormatting sqref="P18:U18">
    <cfRule type="expression" dxfId="83" priority="8" stopIfTrue="1">
      <formula>$AG$18=TRUE</formula>
    </cfRule>
  </conditionalFormatting>
  <conditionalFormatting sqref="P19:U19">
    <cfRule type="expression" dxfId="82" priority="7" stopIfTrue="1">
      <formula>$AG$19=TRUE</formula>
    </cfRule>
  </conditionalFormatting>
  <conditionalFormatting sqref="P10:U10">
    <cfRule type="expression" dxfId="81" priority="6" stopIfTrue="1">
      <formula>$AG$10=TRUE</formula>
    </cfRule>
  </conditionalFormatting>
  <conditionalFormatting sqref="P11:U11">
    <cfRule type="expression" dxfId="80" priority="5" stopIfTrue="1">
      <formula>$AG$11=TRUE</formula>
    </cfRule>
  </conditionalFormatting>
  <conditionalFormatting sqref="P14:U14">
    <cfRule type="expression" dxfId="79" priority="4" stopIfTrue="1">
      <formula>$AG$14=TRUE</formula>
    </cfRule>
  </conditionalFormatting>
  <conditionalFormatting sqref="P9:U9">
    <cfRule type="expression" dxfId="78" priority="3" stopIfTrue="1">
      <formula>$AG$9=TRUE</formula>
    </cfRule>
  </conditionalFormatting>
  <conditionalFormatting sqref="P12:U12">
    <cfRule type="expression" dxfId="77" priority="2">
      <formula>$AG$12=TRUE</formula>
    </cfRule>
  </conditionalFormatting>
  <conditionalFormatting sqref="P13:U13">
    <cfRule type="expression" dxfId="76"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2422"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2423"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2424"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2433"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2435"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2436"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2437"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AO106"/>
  <sheetViews>
    <sheetView showGridLines="0" view="pageBreakPreview" topLeftCell="A21"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114</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60">
        <f>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0.52900000000000003</v>
      </c>
      <c r="W4" s="361"/>
      <c r="X4" s="360">
        <f>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0.54400000000000004</v>
      </c>
      <c r="Y4" s="361"/>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t="s">
        <v>255</v>
      </c>
      <c r="C8" s="304"/>
      <c r="D8" s="181">
        <v>0.78</v>
      </c>
      <c r="E8" s="187"/>
      <c r="F8" s="226">
        <v>0.56999999999999995</v>
      </c>
      <c r="G8" s="182"/>
      <c r="H8" s="222">
        <v>1.6</v>
      </c>
      <c r="I8" s="222"/>
      <c r="J8" s="222">
        <v>0.39</v>
      </c>
      <c r="K8" s="222"/>
      <c r="L8" s="296"/>
      <c r="M8" s="296"/>
      <c r="N8" s="305"/>
      <c r="O8" s="306"/>
      <c r="P8" s="313"/>
      <c r="Q8" s="314"/>
      <c r="R8" s="315"/>
      <c r="S8" s="316"/>
      <c r="T8" s="317"/>
      <c r="U8" s="313"/>
      <c r="V8" s="301">
        <f>IF(D8="","",AD8)</f>
        <v>8.5304646179999999E-2</v>
      </c>
      <c r="W8" s="301"/>
      <c r="X8" s="301">
        <f t="shared" ref="X8:X19" si="0">IF(D8="","",IF(ISERROR(AE8),"-",AE8))</f>
        <v>4.810643136E-2</v>
      </c>
      <c r="Y8" s="301"/>
      <c r="Z8" s="301">
        <f>IF(D8="","",D8*F8*AN8)</f>
        <v>0.71135999999999999</v>
      </c>
      <c r="AA8" s="302"/>
      <c r="AD8" s="37">
        <f>D8*F8*J8*$V$4*AH8</f>
        <v>8.5304646179999999E-2</v>
      </c>
      <c r="AE8" s="37">
        <f>D8*F8*J8*$X$4*AI8</f>
        <v>4.810643136E-2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10">IF(D12="","",AD12)</f>
        <v/>
      </c>
      <c r="W12" s="212"/>
      <c r="X12" s="188" t="str">
        <f t="shared" ref="X12:X13" si="11">IF(D12="","",IF(ISERROR(AE12),"-",AE12))</f>
        <v/>
      </c>
      <c r="Y12" s="212"/>
      <c r="Z12" s="188" t="str">
        <f t="shared" ref="Z12:Z13" si="12">IF(D12="","",D12*F12*AN12)</f>
        <v/>
      </c>
      <c r="AA12" s="189"/>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297"/>
      <c r="D13" s="181"/>
      <c r="E13" s="187"/>
      <c r="F13" s="226"/>
      <c r="G13" s="182"/>
      <c r="H13" s="181"/>
      <c r="I13" s="182"/>
      <c r="J13" s="181"/>
      <c r="K13" s="182"/>
      <c r="L13" s="227"/>
      <c r="M13" s="228"/>
      <c r="N13" s="281"/>
      <c r="O13" s="345"/>
      <c r="P13" s="283"/>
      <c r="Q13" s="287"/>
      <c r="R13" s="286"/>
      <c r="S13" s="287"/>
      <c r="T13" s="286"/>
      <c r="U13" s="279"/>
      <c r="V13" s="188" t="str">
        <f t="shared" si="10"/>
        <v/>
      </c>
      <c r="W13" s="212"/>
      <c r="X13" s="188" t="str">
        <f t="shared" si="11"/>
        <v/>
      </c>
      <c r="Y13" s="212"/>
      <c r="Z13" s="188" t="str">
        <f t="shared" si="12"/>
        <v/>
      </c>
      <c r="AA13" s="189"/>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184"/>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184"/>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184"/>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132</v>
      </c>
      <c r="C20" s="230"/>
      <c r="D20" s="230"/>
      <c r="E20" s="230"/>
      <c r="F20" s="230"/>
      <c r="G20" s="230"/>
      <c r="H20" s="230"/>
      <c r="I20" s="230"/>
      <c r="J20" s="230"/>
      <c r="K20" s="230"/>
      <c r="L20" s="230"/>
      <c r="M20" s="230"/>
      <c r="N20" s="230"/>
      <c r="O20" s="230"/>
      <c r="P20" s="230"/>
      <c r="Q20" s="230"/>
      <c r="R20" s="230"/>
      <c r="S20" s="230"/>
      <c r="T20" s="230"/>
      <c r="U20" s="230"/>
      <c r="V20" s="218">
        <f>SUM(V8:W19)</f>
        <v>8.5304646179999999E-2</v>
      </c>
      <c r="W20" s="218"/>
      <c r="X20" s="218">
        <f>SUM(X8:Y19)</f>
        <v>4.810643136E-2</v>
      </c>
      <c r="Y20" s="218"/>
      <c r="Z20" s="218">
        <f>SUM(Z8:AA19)</f>
        <v>0.71135999999999999</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148</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257</v>
      </c>
      <c r="K33" s="346"/>
      <c r="L33" s="247">
        <f>6.3*(2.4+0.438+2.4+0.043+0.105+0.02)</f>
        <v>34.0578</v>
      </c>
      <c r="M33" s="248"/>
      <c r="N33" s="247">
        <f>0.4446</f>
        <v>0.4446</v>
      </c>
      <c r="O33" s="248"/>
      <c r="P33" s="249">
        <f>IF(L33="","",L33-N33)</f>
        <v>33.613199999999999</v>
      </c>
      <c r="Q33" s="250"/>
      <c r="R33" s="222">
        <v>0.23555458027078999</v>
      </c>
      <c r="S33" s="222"/>
      <c r="T33" s="251"/>
      <c r="U33" s="251"/>
      <c r="V33" s="224">
        <f>IF(P33="","",IF(AD33=TRUE,0,P33*R33*0.034*$V$4))</f>
        <v>0.14240852951100033</v>
      </c>
      <c r="W33" s="224"/>
      <c r="X33" s="252">
        <f>IF(P33="","",IF(ISERROR(P33*R33*0.034*$X$4),"-",IF(AD33=TRUE,0,P33*R33*0.034*$X$4)))</f>
        <v>0.14644657855195498</v>
      </c>
      <c r="Y33" s="253"/>
      <c r="Z33" s="224">
        <f>IF(R33="","",IF(AD33=TRUE,0.7*R33*P33,R33*P33))</f>
        <v>7.9177432175581179</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t="s">
        <v>262</v>
      </c>
      <c r="K34" s="184"/>
      <c r="L34" s="181">
        <f>0.5*6.3</f>
        <v>3.15</v>
      </c>
      <c r="M34" s="182"/>
      <c r="N34" s="181">
        <v>0</v>
      </c>
      <c r="O34" s="182"/>
      <c r="P34" s="185">
        <f t="shared" ref="P34:P35" si="20">IF(L34="","",L34-N34)</f>
        <v>3.15</v>
      </c>
      <c r="Q34" s="186"/>
      <c r="R34" s="181">
        <v>0.26183640835258143</v>
      </c>
      <c r="S34" s="182"/>
      <c r="T34" s="179"/>
      <c r="U34" s="180"/>
      <c r="V34" s="188">
        <f t="shared" ref="V34:V35" si="21">IF(P34="","",IF(AD34=TRUE,0,P34*R34*0.034*$V$4))</f>
        <v>1.4834577367983021E-2</v>
      </c>
      <c r="W34" s="212"/>
      <c r="X34" s="188">
        <f t="shared" ref="X34:X35" si="22">IF(P34="","",IF(ISERROR(P34*R34*0.034*$X$4),"-",IF(AD34=TRUE,0,P34*R34*0.034*$X$4)))</f>
        <v>1.5255217558001442E-2</v>
      </c>
      <c r="Y34" s="212"/>
      <c r="Z34" s="188">
        <f t="shared" ref="Z34:Z35" si="23">IF(R34="","",IF(AD34=TRUE,0.7*R34*P34,R34*P34))</f>
        <v>0.82478468631063151</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133</v>
      </c>
      <c r="K38" s="230"/>
      <c r="L38" s="230"/>
      <c r="M38" s="230"/>
      <c r="N38" s="230"/>
      <c r="O38" s="230"/>
      <c r="P38" s="230"/>
      <c r="Q38" s="230"/>
      <c r="R38" s="230"/>
      <c r="S38" s="230"/>
      <c r="T38" s="230"/>
      <c r="U38" s="231"/>
      <c r="V38" s="218">
        <f>SUM(V33:W37)</f>
        <v>0.15724310687898335</v>
      </c>
      <c r="W38" s="218"/>
      <c r="X38" s="218">
        <f>SUM(X33:Y37)</f>
        <v>0.16170179610995641</v>
      </c>
      <c r="Y38" s="218"/>
      <c r="Z38" s="218">
        <f>SUM(Z33:AA37)</f>
        <v>8.7425279038687496</v>
      </c>
      <c r="AA38" s="219"/>
    </row>
    <row r="39" spans="2:32" s="37" customFormat="1" ht="9.9" customHeight="1" x14ac:dyDescent="0.2"/>
    <row r="40" spans="2:32" s="37" customFormat="1" ht="21.9" customHeight="1" thickBot="1" x14ac:dyDescent="0.25">
      <c r="B40" s="38" t="s">
        <v>134</v>
      </c>
    </row>
    <row r="41" spans="2:32" s="37" customFormat="1" ht="21.9" customHeight="1" x14ac:dyDescent="0.2">
      <c r="B41" s="258" t="s">
        <v>107</v>
      </c>
      <c r="C41" s="259"/>
      <c r="D41" s="268" t="s">
        <v>56</v>
      </c>
      <c r="E41" s="269"/>
      <c r="F41" s="269"/>
      <c r="G41" s="269"/>
      <c r="H41" s="269"/>
      <c r="I41" s="269"/>
      <c r="J41" s="270"/>
      <c r="K41" s="42"/>
      <c r="L41" s="264">
        <f>Q41+U41+Y41</f>
        <v>37.207799999999999</v>
      </c>
      <c r="M41" s="264"/>
      <c r="N41" s="264"/>
      <c r="O41" s="42" t="s">
        <v>24</v>
      </c>
      <c r="P41" s="43" t="s">
        <v>23</v>
      </c>
      <c r="Q41" s="265">
        <f>D8*F8+D9*F9+D10*F10+D11*F11+D12*F12+D13*F13+D14*F14+D15*F15+D16*F16+D17*F17+D18*F18+D19*F19</f>
        <v>0.4446</v>
      </c>
      <c r="R41" s="265"/>
      <c r="S41" s="44" t="s">
        <v>25</v>
      </c>
      <c r="T41" s="44" t="s">
        <v>22</v>
      </c>
      <c r="U41" s="266">
        <f>N25*P25+N26*P26+N27*P27</f>
        <v>0</v>
      </c>
      <c r="V41" s="266"/>
      <c r="W41" s="44" t="s">
        <v>25</v>
      </c>
      <c r="X41" s="44" t="s">
        <v>1</v>
      </c>
      <c r="Y41" s="267">
        <f>SUM(P33:Q37)</f>
        <v>36.763199999999998</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0.24254775305898335</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0.20980822746995642</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9.4538879038687504</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FTtSKYs72ULgzvaUpGTn+C/+zYzRfcFQejjHCHU5LJ76IdDbHRQoSzzg0gauu6L/zlKr1IzUU+E4rFcYAY0YUw==" saltValue="Id4cx1KaB05nRZFlqIm4J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V26:W26"/>
    <mergeCell ref="X26:Y26"/>
    <mergeCell ref="Z26:AA26"/>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R18:S18"/>
    <mergeCell ref="T18:U18"/>
    <mergeCell ref="V18:W18"/>
    <mergeCell ref="B18:C18"/>
    <mergeCell ref="D18:E18"/>
    <mergeCell ref="F18:G18"/>
    <mergeCell ref="H18:I18"/>
    <mergeCell ref="J18:K18"/>
    <mergeCell ref="L18:M18"/>
    <mergeCell ref="N18:O18"/>
    <mergeCell ref="P18:Q18"/>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J10:K10"/>
    <mergeCell ref="L10:M10"/>
    <mergeCell ref="N10:O10"/>
    <mergeCell ref="P10:Q10"/>
    <mergeCell ref="R10:S10"/>
    <mergeCell ref="X8:Y8"/>
    <mergeCell ref="Z8:AA8"/>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J8:K8"/>
    <mergeCell ref="L8:M8"/>
    <mergeCell ref="R8:S8"/>
    <mergeCell ref="T8:U8"/>
    <mergeCell ref="V8:W8"/>
    <mergeCell ref="AD6:AE6"/>
    <mergeCell ref="AH6:AI6"/>
    <mergeCell ref="AK6:AL6"/>
    <mergeCell ref="AN6:AO6"/>
    <mergeCell ref="P7:Q7"/>
    <mergeCell ref="R7:S7"/>
    <mergeCell ref="T7:U7"/>
    <mergeCell ref="V5:W7"/>
    <mergeCell ref="X5:Y7"/>
    <mergeCell ref="Z5:AA7"/>
    <mergeCell ref="B2:AA2"/>
    <mergeCell ref="R4:U4"/>
    <mergeCell ref="V4:W4"/>
    <mergeCell ref="X4:Y4"/>
    <mergeCell ref="B5:C7"/>
    <mergeCell ref="D5:G5"/>
    <mergeCell ref="H5:I7"/>
    <mergeCell ref="J5:K7"/>
    <mergeCell ref="L5:M7"/>
    <mergeCell ref="N5:U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N12:O12"/>
    <mergeCell ref="N13:O13"/>
    <mergeCell ref="T34:U34"/>
    <mergeCell ref="T35:U35"/>
    <mergeCell ref="D12:E12"/>
    <mergeCell ref="D13:E13"/>
    <mergeCell ref="B12:C12"/>
    <mergeCell ref="B13:C13"/>
    <mergeCell ref="F12:G12"/>
    <mergeCell ref="F13:G13"/>
    <mergeCell ref="H12:I12"/>
    <mergeCell ref="H13:I13"/>
    <mergeCell ref="J12:K12"/>
    <mergeCell ref="J13:K13"/>
    <mergeCell ref="L13:M13"/>
    <mergeCell ref="L12:M12"/>
    <mergeCell ref="J26:M26"/>
    <mergeCell ref="N26:O26"/>
    <mergeCell ref="P26:Q26"/>
    <mergeCell ref="R26:S26"/>
    <mergeCell ref="T26:U26"/>
    <mergeCell ref="J34:K34"/>
    <mergeCell ref="J35:K35"/>
    <mergeCell ref="L34:M34"/>
    <mergeCell ref="V12:W12"/>
    <mergeCell ref="V13:W13"/>
    <mergeCell ref="X12:Y12"/>
    <mergeCell ref="X13:Y13"/>
    <mergeCell ref="Z12:AA12"/>
    <mergeCell ref="Z13:AA13"/>
    <mergeCell ref="T12:U12"/>
    <mergeCell ref="R12:S12"/>
    <mergeCell ref="P12:Q12"/>
    <mergeCell ref="P13:Q13"/>
    <mergeCell ref="R13:S13"/>
    <mergeCell ref="T13:U13"/>
    <mergeCell ref="L35:M35"/>
    <mergeCell ref="N34:O34"/>
    <mergeCell ref="N35:O35"/>
    <mergeCell ref="R34:S34"/>
    <mergeCell ref="R35:S35"/>
    <mergeCell ref="P34:Q34"/>
    <mergeCell ref="P35:Q35"/>
    <mergeCell ref="V34:W34"/>
    <mergeCell ref="V35:W35"/>
  </mergeCells>
  <phoneticPr fontId="2"/>
  <conditionalFormatting sqref="V20:W20">
    <cfRule type="expression" dxfId="75" priority="52" stopIfTrue="1">
      <formula>$V$20=0</formula>
    </cfRule>
  </conditionalFormatting>
  <conditionalFormatting sqref="X20:Y20">
    <cfRule type="expression" dxfId="74" priority="51" stopIfTrue="1">
      <formula>$X$20=0</formula>
    </cfRule>
  </conditionalFormatting>
  <conditionalFormatting sqref="Z20:AA20">
    <cfRule type="expression" dxfId="73" priority="50" stopIfTrue="1">
      <formula>$Z$20=0</formula>
    </cfRule>
  </conditionalFormatting>
  <conditionalFormatting sqref="V28:W28">
    <cfRule type="expression" dxfId="72" priority="49" stopIfTrue="1">
      <formula>$V$28:$W$28=0</formula>
    </cfRule>
  </conditionalFormatting>
  <conditionalFormatting sqref="V38:W38">
    <cfRule type="expression" dxfId="71" priority="48" stopIfTrue="1">
      <formula>$V$38:$W$38=0</formula>
    </cfRule>
  </conditionalFormatting>
  <conditionalFormatting sqref="Y41:Z41">
    <cfRule type="expression" dxfId="70" priority="47" stopIfTrue="1">
      <formula>$Y$41=0</formula>
    </cfRule>
  </conditionalFormatting>
  <conditionalFormatting sqref="Q41:R41">
    <cfRule type="expression" dxfId="69" priority="46" stopIfTrue="1">
      <formula>$Q$41=0</formula>
    </cfRule>
  </conditionalFormatting>
  <conditionalFormatting sqref="U41:V41">
    <cfRule type="expression" dxfId="68" priority="45" stopIfTrue="1">
      <formula>$U$41=0</formula>
    </cfRule>
  </conditionalFormatting>
  <conditionalFormatting sqref="L41:N41">
    <cfRule type="expression" dxfId="67" priority="44" stopIfTrue="1">
      <formula>$L$41=0</formula>
    </cfRule>
  </conditionalFormatting>
  <conditionalFormatting sqref="X8:Y8">
    <cfRule type="expression" dxfId="66" priority="42" stopIfTrue="1">
      <formula>#VALUE!</formula>
    </cfRule>
    <cfRule type="expression" dxfId="65" priority="43" stopIfTrue="1">
      <formula>#VALUE!</formula>
    </cfRule>
  </conditionalFormatting>
  <conditionalFormatting sqref="X19:Y19">
    <cfRule type="expression" dxfId="64" priority="41" stopIfTrue="1">
      <formula>#VALUE!</formula>
    </cfRule>
  </conditionalFormatting>
  <conditionalFormatting sqref="X8:Y8">
    <cfRule type="expression" dxfId="63" priority="29" stopIfTrue="1">
      <formula>#VALUE!</formula>
    </cfRule>
    <cfRule type="expression" dxfId="62" priority="30" stopIfTrue="1">
      <formula>#VALUE!</formula>
    </cfRule>
  </conditionalFormatting>
  <conditionalFormatting sqref="X19:Y19">
    <cfRule type="expression" dxfId="61" priority="28" stopIfTrue="1">
      <formula>#VALUE!</formula>
    </cfRule>
  </conditionalFormatting>
  <conditionalFormatting sqref="X28:Y28">
    <cfRule type="expression" dxfId="60" priority="27" stopIfTrue="1">
      <formula>$X$28:$Y$28=0</formula>
    </cfRule>
  </conditionalFormatting>
  <conditionalFormatting sqref="Z28:AA28">
    <cfRule type="expression" dxfId="59" priority="26" stopIfTrue="1">
      <formula>$Z$28:$AA$28=0</formula>
    </cfRule>
  </conditionalFormatting>
  <conditionalFormatting sqref="X38:Y38">
    <cfRule type="expression" dxfId="58" priority="25" stopIfTrue="1">
      <formula>$X$38:$Y$38=0</formula>
    </cfRule>
  </conditionalFormatting>
  <conditionalFormatting sqref="Z38:AA38">
    <cfRule type="expression" dxfId="57" priority="24" stopIfTrue="1">
      <formula>$Z$38:$AA$38=0</formula>
    </cfRule>
  </conditionalFormatting>
  <conditionalFormatting sqref="P8:U8">
    <cfRule type="expression" dxfId="56" priority="13" stopIfTrue="1">
      <formula>$AG$8=TRUE</formula>
    </cfRule>
  </conditionalFormatting>
  <conditionalFormatting sqref="P15:U15">
    <cfRule type="expression" dxfId="55" priority="12" stopIfTrue="1">
      <formula>$AG$15=TRUE</formula>
    </cfRule>
  </conditionalFormatting>
  <conditionalFormatting sqref="P16:U16">
    <cfRule type="expression" dxfId="54" priority="11" stopIfTrue="1">
      <formula>$AG$16=TRUE</formula>
    </cfRule>
  </conditionalFormatting>
  <conditionalFormatting sqref="P17:U17">
    <cfRule type="expression" dxfId="53" priority="10" stopIfTrue="1">
      <formula>$AG$17=TRUE</formula>
    </cfRule>
  </conditionalFormatting>
  <conditionalFormatting sqref="P18:U18">
    <cfRule type="expression" dxfId="52" priority="9" stopIfTrue="1">
      <formula>$AG$18=TRUE</formula>
    </cfRule>
  </conditionalFormatting>
  <conditionalFormatting sqref="P19:U19">
    <cfRule type="expression" dxfId="51" priority="8" stopIfTrue="1">
      <formula>$AG$19=TRUE</formula>
    </cfRule>
  </conditionalFormatting>
  <conditionalFormatting sqref="P10:U10">
    <cfRule type="expression" dxfId="50" priority="7" stopIfTrue="1">
      <formula>$AG$10=TRUE</formula>
    </cfRule>
  </conditionalFormatting>
  <conditionalFormatting sqref="P14:U14">
    <cfRule type="expression" dxfId="49" priority="5" stopIfTrue="1">
      <formula>$AG$14=TRUE</formula>
    </cfRule>
  </conditionalFormatting>
  <conditionalFormatting sqref="P9:U9">
    <cfRule type="expression" dxfId="48" priority="4" stopIfTrue="1">
      <formula>$AG$9=TRUE</formula>
    </cfRule>
  </conditionalFormatting>
  <conditionalFormatting sqref="P12:U12">
    <cfRule type="expression" dxfId="47" priority="3">
      <formula>$AG$12=TRUE</formula>
    </cfRule>
  </conditionalFormatting>
  <conditionalFormatting sqref="P13:U13">
    <cfRule type="expression" dxfId="46" priority="2">
      <formula>$AG$13=TRUE</formula>
    </cfRule>
  </conditionalFormatting>
  <conditionalFormatting sqref="P11:U11">
    <cfRule type="expression" dxfId="45" priority="1">
      <formula>$AG$11=TRUE</formula>
    </cfRule>
  </conditionalFormatting>
  <dataValidations count="1">
    <dataValidation type="list" allowBlank="1" showInputMessage="1" showErrorMessage="1" sqref="M8:M11 L8:L19 M14:M19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3446"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3447"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3448"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3457"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3458"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3459" r:id="rId19" name="Check Box 35">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3460" r:id="rId20" name="Check Box 36">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はじめに（お読みください）</vt:lpstr>
      <vt:lpstr>共通条件・結果</vt:lpstr>
      <vt:lpstr>Ａ（北）</vt:lpstr>
      <vt:lpstr>Ａ（北東）</vt:lpstr>
      <vt:lpstr>Ａ（東）</vt:lpstr>
      <vt:lpstr>Ａ（南東）</vt:lpstr>
      <vt:lpstr>Ａ（南）</vt:lpstr>
      <vt:lpstr>Ａ（南西）</vt:lpstr>
      <vt:lpstr>Ａ（西）</vt:lpstr>
      <vt:lpstr>Ａ（北西）</vt:lpstr>
      <vt:lpstr>Ｂ（屋根・床等）</vt:lpstr>
      <vt:lpstr>Ｃ（基礎）</vt:lpstr>
      <vt:lpstr>更新履歴</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'はじめに（お読みください）'!Print_Area</vt:lpstr>
      <vt:lpstr>共通条件・結果!Print_Area</vt:lpstr>
      <vt:lpstr>更新履歴!Print_Area</vt:lpstr>
    </vt:vector>
  </TitlesOfParts>
  <Company>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hokkaido</cp:lastModifiedBy>
  <cp:lastPrinted>2020-04-01T08:28:04Z</cp:lastPrinted>
  <dcterms:created xsi:type="dcterms:W3CDTF">2001-06-12T05:58:42Z</dcterms:created>
  <dcterms:modified xsi:type="dcterms:W3CDTF">2021-02-26T04:17:52Z</dcterms:modified>
</cp:coreProperties>
</file>